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HpXGaBs630/3nBLjvsNZW3+kxHVXbRTbUdgypHx5rJZXTIsTaU6428Xjv1VJCJL+SidFxEGXUtmh8upQWcMw1A==" workbookSaltValue="VbPe2bTbYcFiuOCB3s907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AK31" i="8"/>
  <c r="BD12" i="8"/>
  <c r="H12" i="7"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<sst xmlns="http://schemas.openxmlformats.org/spreadsheetml/2006/main" count="2672" uniqueCount="1184">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</sst>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twymxEy2jHdQQuDeTV8mefEipH/crfNFT9SFVLExPO8NOKAkizpJDdSxgyXoU1EY6e6IMr/zOQ+7n03rE0A3w==" saltValue="tH0tS0jq+jQ4rOtsYD6x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CANARIAS</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24</v>
      </c>
      <c r="F10" s="240">
        <f>IF(ISNUMBER(Datos!K10),Datos!K10," - ")</f>
        <v>26</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-9.5238095238095233E-2</v>
      </c>
      <c r="L10" s="1402">
        <f>IF(ISNUMBER(NºAsuntos!I10/NºAsuntos!G10),(NºAsuntos!I10/NºAsuntos!G10)*11," - ")</f>
        <v>8.0384615384615383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9.7844932844932835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24</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432</v>
      </c>
      <c r="D17" s="239">
        <f>IF(ISNUMBER(IF(D_I="SI",Datos!I17,Datos!I17+Datos!AC17)),IF(D_I="SI",Datos!I17,Datos!I17+Datos!AC17)," - ")</f>
        <v>413</v>
      </c>
      <c r="E17" s="240">
        <f>IF(ISNUMBER(IF(D_I="SI",Datos!J17,Datos!J17+Datos!AD17)),IF(D_I="SI",Datos!J17,Datos!J17+Datos!AD17)," - ")</f>
        <v>2040</v>
      </c>
      <c r="F17" s="240">
        <f>IF(ISNUMBER(IF(D_I="SI",Datos!K17,Datos!K17+Datos!AE17)),IF(D_I="SI",Datos!K17,Datos!K17+Datos!AE17)," - ")</f>
        <v>2072</v>
      </c>
      <c r="G17" s="1390" t="str">
        <f>IF(Datos!E17&lt;&gt;"",Datos!E17,Datos!D17)</f>
        <v>04</v>
      </c>
      <c r="H17" s="241">
        <f>IF(ISNUMBER(IF(D_I="SI",Datos!L17,Datos!L17+Datos!AF17)),IF(D_I="SI",Datos!L17,Datos!L17+Datos!AF17)," - ")</f>
        <v>400</v>
      </c>
      <c r="I17" s="1400" t="str">
        <f>IF(ISNUMBER(Datos!AS17/Datos!BM17),Datos!AS17/Datos!BM17," - ")</f>
        <v xml:space="preserve"> - </v>
      </c>
      <c r="J17" s="1401">
        <f>IF(ISNUMBER(Datos!BY17/Datos!CN17),Datos!BY17/Datos!CN17," - ")</f>
        <v>0</v>
      </c>
      <c r="K17" s="244">
        <f t="shared" si="3"/>
        <v>-7.407407407407407E-2</v>
      </c>
      <c r="L17" s="1402">
        <f>IF(ISNUMBER(NºAsuntos!I17/NºAsuntos!G17),(NºAsuntos!I17/NºAsuntos!G17)*11," - ")</f>
        <v>2.1235521235521237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108</v>
      </c>
      <c r="F18" s="240">
        <f>IF(ISNUMBER(IF(D_I="SI",Datos!K18,Datos!K18+Datos!AE18)),IF(D_I="SI",Datos!K18,Datos!K18+Datos!AE18)," - ")</f>
        <v>105</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1.1523809523809525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247</v>
      </c>
      <c r="D21" s="239">
        <f>IF(ISNUMBER(Datos!I21),Datos!I21," - ")</f>
        <v>246</v>
      </c>
      <c r="E21" s="240">
        <f>IF(ISNUMBER(Datos!J21),Datos!J21," - ")</f>
        <v>273</v>
      </c>
      <c r="F21" s="240">
        <f>IF(ISNUMBER(Datos!K21),Datos!K21," - ")</f>
        <v>323</v>
      </c>
      <c r="G21" s="1390" t="str">
        <f>IF(Datos!E21&lt;&gt;"",Datos!E21,Datos!D21)</f>
        <v>09</v>
      </c>
      <c r="H21" s="241">
        <f>IF(ISNUMBER(Datos!L21),Datos!L21," - ")</f>
        <v>197</v>
      </c>
      <c r="I21" s="1400" t="str">
        <f>IF(ISNUMBER(Datos!AS21/Datos!BM21),Datos!AS21/Datos!BM21," - ")</f>
        <v xml:space="preserve"> - </v>
      </c>
      <c r="J21" s="1401" t="str">
        <f>IF(ISNUMBER(Datos!BY21/Datos!CN21),Datos!BY21/Datos!CN21," - ")</f>
        <v xml:space="preserve"> - </v>
      </c>
      <c r="K21" s="244">
        <f t="shared" si="3"/>
        <v>-0.20242914979757085</v>
      </c>
      <c r="L21" s="1402">
        <f>IF(ISNUMBER(NºAsuntos!I21/NºAsuntos!G21),(NºAsuntos!I21/NºAsuntos!G21)*11," - ")</f>
        <v>6.7089783281733748</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687</v>
      </c>
      <c r="D23" s="1407">
        <f>SUBTOTAL(9,D16:D22)</f>
        <v>667</v>
      </c>
      <c r="E23" s="1408">
        <f>SUBTOTAL(9,E16:E22)</f>
        <v>2421</v>
      </c>
      <c r="F23" s="1408">
        <f>SUBTOTAL(9,F16:F22)</f>
        <v>2500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708</v>
      </c>
      <c r="D31" s="1435">
        <f>SUBTOTAL(9,D9:D30)</f>
        <v>688</v>
      </c>
      <c r="E31" s="1436">
        <f>SUBTOTAL(9,E9:E30)</f>
        <v>2445</v>
      </c>
      <c r="F31" s="1436">
        <f>SUBTOTAL(9,F9:F30)</f>
        <v>2526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lFyLTEB+ky15ltmWeLr8QwtqH/8VOz9qBPOzhFprbkY7Fei04eJ4soZIx/J41bsgaL/OpifXMy8ofbhYuOnHQA==" saltValue="NPD2fi5BE+WHijddxt0oX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OKag3fa6lYZ7NIAZrXvhC2YrRjjUgb2Qj27e3X7l+cL4n7FyIfSJKwA/tw2vDnLdCvfB+cvdm/W+dQ2EgzoLZQ==" saltValue="Fo8LV742k0RJKt1KNiqK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21</v>
      </c>
      <c r="J10" s="194">
        <v>24</v>
      </c>
      <c r="K10" s="194">
        <v>26</v>
      </c>
      <c r="L10" s="194">
        <v>19</v>
      </c>
      <c r="M10" s="194">
        <v>10</v>
      </c>
      <c r="N10" s="194">
        <v>6</v>
      </c>
      <c r="O10" s="194">
        <v>2</v>
      </c>
      <c r="P10" s="194">
        <v>1</v>
      </c>
      <c r="Q10" s="194">
        <v>0</v>
      </c>
      <c r="R10" s="194">
        <v>2</v>
      </c>
      <c r="S10" s="194">
        <v>18</v>
      </c>
      <c r="T10" s="194">
        <v>28</v>
      </c>
      <c r="U10" s="194">
        <v>25</v>
      </c>
      <c r="V10" s="194">
        <v>21</v>
      </c>
      <c r="W10" s="194">
        <v>12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18</v>
      </c>
      <c r="AZ10" s="139">
        <f t="shared" si="0"/>
        <v>28</v>
      </c>
      <c r="BA10" s="139">
        <f t="shared" si="0"/>
        <v>25</v>
      </c>
      <c r="BB10" s="139">
        <f t="shared" si="0"/>
        <v>21</v>
      </c>
      <c r="BC10" s="135">
        <f t="shared" si="0"/>
        <v>12</v>
      </c>
      <c r="BD10" s="136">
        <f>IF(ISNUMBER(BA10/AZ10),BA10/AZ10," - ")</f>
        <v>0.8928571428571429</v>
      </c>
      <c r="BE10" s="137">
        <f>IF(ISNUMBER(BB10/BA10),BB10/BA10, " - ")</f>
        <v>0.84</v>
      </c>
      <c r="BF10" s="137">
        <f>IF(ISNUMBER(BC10/BA10),BC10/BA10, " - ")</f>
        <v>0.48</v>
      </c>
      <c r="BG10" s="209">
        <f>IF(ISNUMBER((AY10+AZ10)/BA10),(AY10+AZ10)/BA10," - ")</f>
        <v>1.84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1101</v>
      </c>
      <c r="J12" s="196">
        <v>1704</v>
      </c>
      <c r="K12" s="196">
        <v>1458</v>
      </c>
      <c r="L12" s="196">
        <v>1351</v>
      </c>
      <c r="M12" s="196">
        <v>283</v>
      </c>
      <c r="N12" s="196">
        <v>955</v>
      </c>
      <c r="O12" s="194">
        <v>435</v>
      </c>
      <c r="P12" s="196">
        <v>207</v>
      </c>
      <c r="Q12" s="196">
        <v>404</v>
      </c>
      <c r="R12" s="196">
        <v>1011</v>
      </c>
      <c r="S12" s="196">
        <v>1027</v>
      </c>
      <c r="T12" s="196">
        <v>1333</v>
      </c>
      <c r="U12" s="196">
        <v>1106</v>
      </c>
      <c r="V12" s="196">
        <v>1101</v>
      </c>
      <c r="W12" s="196">
        <v>269</v>
      </c>
      <c r="X12" s="202">
        <v>672</v>
      </c>
      <c r="Y12" s="204">
        <v>113</v>
      </c>
      <c r="Z12" s="194">
        <v>181</v>
      </c>
      <c r="AA12" s="194">
        <v>180</v>
      </c>
      <c r="AB12" s="194">
        <v>106</v>
      </c>
      <c r="AC12" s="196">
        <v>0</v>
      </c>
      <c r="AD12" s="196">
        <v>0</v>
      </c>
      <c r="AE12" s="196">
        <v>0</v>
      </c>
      <c r="AF12" s="202">
        <v>0</v>
      </c>
      <c r="AG12" s="215">
        <v>100</v>
      </c>
      <c r="AH12" s="196">
        <v>202</v>
      </c>
      <c r="AI12" s="196">
        <v>189</v>
      </c>
      <c r="AJ12" s="216">
        <v>113</v>
      </c>
      <c r="AK12" s="195">
        <v>0</v>
      </c>
      <c r="AL12" s="196">
        <v>0</v>
      </c>
      <c r="AM12" s="196">
        <v>0</v>
      </c>
      <c r="AN12" s="202">
        <v>0</v>
      </c>
      <c r="AO12" s="283">
        <v>2</v>
      </c>
      <c r="AP12" s="168">
        <v>2</v>
      </c>
      <c r="AQ12" s="168">
        <v>2</v>
      </c>
      <c r="AR12" s="167">
        <v>2</v>
      </c>
      <c r="AS12" s="381" t="s">
        <v>1066</v>
      </c>
      <c r="AT12" s="216"/>
      <c r="AU12" s="215"/>
      <c r="AV12" s="216"/>
      <c r="AW12" s="215"/>
      <c r="AX12" s="216"/>
      <c r="AY12" s="136">
        <f t="shared" si="1"/>
        <v>1127</v>
      </c>
      <c r="AZ12" s="137">
        <f t="shared" si="1"/>
        <v>1535</v>
      </c>
      <c r="BA12" s="137">
        <f t="shared" si="1"/>
        <v>1295</v>
      </c>
      <c r="BB12" s="137">
        <f t="shared" si="1"/>
        <v>1214</v>
      </c>
      <c r="BC12" s="135">
        <f>IF(ISNUMBER(X12),X12," - ")</f>
        <v>672</v>
      </c>
      <c r="BD12" s="136">
        <f t="shared" si="2"/>
        <v>0.84364820846905542</v>
      </c>
      <c r="BE12" s="137">
        <f t="shared" si="3"/>
        <v>0.93745173745173749</v>
      </c>
      <c r="BF12" s="137">
        <f t="shared" si="4"/>
        <v>0.51891891891891895</v>
      </c>
      <c r="BG12" s="209">
        <f t="shared" si="5"/>
        <v>2.0555984555984557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1122</v>
      </c>
      <c r="J14" s="197">
        <f t="shared" si="7"/>
        <v>1728</v>
      </c>
      <c r="K14" s="197">
        <f t="shared" si="7"/>
        <v>1484</v>
      </c>
      <c r="L14" s="197">
        <f t="shared" si="7"/>
        <v>1370</v>
      </c>
      <c r="M14" s="197">
        <f t="shared" si="7"/>
        <v>293</v>
      </c>
      <c r="N14" s="197">
        <f t="shared" si="7"/>
        <v>961</v>
      </c>
      <c r="O14" s="197">
        <f t="shared" si="7"/>
        <v>437</v>
      </c>
      <c r="P14" s="197">
        <f t="shared" si="7"/>
        <v>208</v>
      </c>
      <c r="Q14" s="197">
        <f t="shared" si="7"/>
        <v>404</v>
      </c>
      <c r="R14" s="197">
        <f t="shared" si="7"/>
        <v>1013</v>
      </c>
      <c r="S14" s="197">
        <f t="shared" si="7"/>
        <v>1045</v>
      </c>
      <c r="T14" s="197">
        <f t="shared" si="7"/>
        <v>1361</v>
      </c>
      <c r="U14" s="197">
        <f t="shared" si="7"/>
        <v>1131</v>
      </c>
      <c r="V14" s="197">
        <f t="shared" si="7"/>
        <v>1122</v>
      </c>
      <c r="W14" s="197">
        <f t="shared" si="7"/>
        <v>281</v>
      </c>
      <c r="X14" s="197">
        <f t="shared" si="7"/>
        <v>675</v>
      </c>
      <c r="Y14" s="197">
        <f t="shared" si="7"/>
        <v>113</v>
      </c>
      <c r="Z14" s="197">
        <f t="shared" si="7"/>
        <v>181</v>
      </c>
      <c r="AA14" s="197">
        <f t="shared" si="7"/>
        <v>180</v>
      </c>
      <c r="AB14" s="197">
        <f t="shared" si="7"/>
        <v>106</v>
      </c>
      <c r="AC14" s="197">
        <f t="shared" si="7"/>
        <v>0</v>
      </c>
      <c r="AD14" s="197">
        <f t="shared" si="7"/>
        <v>0</v>
      </c>
      <c r="AE14" s="197">
        <f t="shared" si="7"/>
        <v>0</v>
      </c>
      <c r="AF14" s="197">
        <f>SUBTOTAL(9,AF9:AF13)</f>
        <v>0</v>
      </c>
      <c r="AG14" s="197">
        <f t="shared" ref="AG14:AT14" si="8">SUBTOTAL(9,AG8:AG13)</f>
        <v>100</v>
      </c>
      <c r="AH14" s="197">
        <f t="shared" si="8"/>
        <v>202</v>
      </c>
      <c r="AI14" s="197">
        <f t="shared" si="8"/>
        <v>189</v>
      </c>
      <c r="AJ14" s="197">
        <f t="shared" si="8"/>
        <v>113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1145</v>
      </c>
      <c r="AZ14" s="197">
        <f>SUBTOTAL(9,AZ8:AZ13)</f>
        <v>1563</v>
      </c>
      <c r="BA14" s="197">
        <f>SUBTOTAL(9,BA8:BA13)</f>
        <v>1320</v>
      </c>
      <c r="BB14" s="197">
        <f>SUBTOTAL(9,BB8:BB13)</f>
        <v>1235</v>
      </c>
      <c r="BC14" s="197">
        <f>SUBTOTAL(9,BC8:BC13)</f>
        <v>684</v>
      </c>
      <c r="BD14" s="219">
        <f>IF(ISNUMBER(BA14/AZ14),BA14/AZ14," - ")</f>
        <v>0.84452975047984646</v>
      </c>
      <c r="BE14" s="220">
        <f>IF(ISNUMBER(BB14/BA14),BB14/BA14, " - ")</f>
        <v>0.93560606060606055</v>
      </c>
      <c r="BF14" s="220">
        <f>IF(ISNUMBER(BC14/BA14),BC14/BA14, " - ")</f>
        <v>0.51818181818181819</v>
      </c>
      <c r="BG14" s="221">
        <f>IF(ISNUMBER((AY14+AZ14)/BA14),(AY14+AZ14)/BA14," - ")</f>
        <v>2.0515151515151517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413</v>
      </c>
      <c r="J17" s="196">
        <v>2040</v>
      </c>
      <c r="K17" s="196">
        <v>2072</v>
      </c>
      <c r="L17" s="196">
        <v>400</v>
      </c>
      <c r="M17" s="196">
        <v>238</v>
      </c>
      <c r="N17" s="196">
        <v>1510</v>
      </c>
      <c r="O17" s="194">
        <v>56</v>
      </c>
      <c r="P17" s="196">
        <v>66</v>
      </c>
      <c r="Q17" s="196">
        <v>85</v>
      </c>
      <c r="R17" s="196">
        <v>78</v>
      </c>
      <c r="S17" s="196">
        <v>473</v>
      </c>
      <c r="T17" s="196">
        <v>1829</v>
      </c>
      <c r="U17" s="196">
        <v>1898</v>
      </c>
      <c r="V17" s="196">
        <v>413</v>
      </c>
      <c r="W17" s="196">
        <v>269</v>
      </c>
      <c r="X17" s="202">
        <v>1370</v>
      </c>
      <c r="Y17" s="215">
        <v>0</v>
      </c>
      <c r="Z17" s="196">
        <v>0</v>
      </c>
      <c r="AA17" s="196">
        <v>0</v>
      </c>
      <c r="AB17" s="196">
        <v>0</v>
      </c>
      <c r="AC17" s="196">
        <v>0</v>
      </c>
      <c r="AD17" s="196">
        <v>4</v>
      </c>
      <c r="AE17" s="196">
        <v>4</v>
      </c>
      <c r="AF17" s="202">
        <v>0</v>
      </c>
      <c r="AG17" s="215">
        <v>0</v>
      </c>
      <c r="AH17" s="196">
        <v>0</v>
      </c>
      <c r="AI17" s="196">
        <v>0</v>
      </c>
      <c r="AJ17" s="216">
        <v>0</v>
      </c>
      <c r="AK17" s="195">
        <v>0</v>
      </c>
      <c r="AL17" s="196">
        <v>1</v>
      </c>
      <c r="AM17" s="196">
        <v>1</v>
      </c>
      <c r="AN17" s="202">
        <v>0</v>
      </c>
      <c r="AO17" s="283">
        <v>2</v>
      </c>
      <c r="AP17" s="168">
        <v>2</v>
      </c>
      <c r="AQ17" s="168">
        <v>2</v>
      </c>
      <c r="AR17" s="168">
        <v>2</v>
      </c>
      <c r="AS17" s="381" t="s">
        <v>649</v>
      </c>
      <c r="AT17" s="216"/>
      <c r="AU17" s="215"/>
      <c r="AV17" s="216"/>
      <c r="AW17" s="215"/>
      <c r="AX17" s="216"/>
      <c r="AY17" s="136">
        <f t="shared" si="10"/>
        <v>473</v>
      </c>
      <c r="AZ17" s="137">
        <f t="shared" si="10"/>
        <v>1829</v>
      </c>
      <c r="BA17" s="137">
        <f t="shared" si="10"/>
        <v>1898</v>
      </c>
      <c r="BB17" s="137">
        <f t="shared" si="10"/>
        <v>413</v>
      </c>
      <c r="BC17" s="135">
        <f>IF(ISNUMBER(W17),W17," - ")</f>
        <v>269</v>
      </c>
      <c r="BD17" s="136">
        <f t="shared" ref="BD17:BD22" si="12">IF(ISNUMBER(BA17/AZ17),BA17/AZ17," - ")</f>
        <v>1.0377255330781847</v>
      </c>
      <c r="BE17" s="137">
        <f t="shared" ref="BE17:BE22" si="13">IF(ISNUMBER(BB17/BA17),BB17/BA17, " - ")</f>
        <v>0.21759747102212856</v>
      </c>
      <c r="BF17" s="137">
        <f t="shared" ref="BF17:BF22" si="14">IF(ISNUMBER(BC17/BA17),BC17/BA17, " - ")</f>
        <v>0.1417281348788198</v>
      </c>
      <c r="BG17" s="209">
        <f t="shared" si="11"/>
        <v>1.2128556375131718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8</v>
      </c>
      <c r="J18" s="196">
        <v>108</v>
      </c>
      <c r="K18" s="196">
        <v>105</v>
      </c>
      <c r="L18" s="196">
        <v>11</v>
      </c>
      <c r="M18" s="196">
        <v>18</v>
      </c>
      <c r="N18" s="196">
        <v>75</v>
      </c>
      <c r="O18" s="196">
        <v>5</v>
      </c>
      <c r="P18" s="196">
        <v>7</v>
      </c>
      <c r="Q18" s="196">
        <v>7</v>
      </c>
      <c r="R18" s="196">
        <v>0</v>
      </c>
      <c r="S18" s="196">
        <v>8</v>
      </c>
      <c r="T18" s="196">
        <v>105</v>
      </c>
      <c r="U18" s="196">
        <v>105</v>
      </c>
      <c r="V18" s="196">
        <v>8</v>
      </c>
      <c r="W18" s="196">
        <v>33</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8</v>
      </c>
      <c r="AZ18" s="139">
        <f t="shared" si="15"/>
        <v>105</v>
      </c>
      <c r="BA18" s="139">
        <f t="shared" si="15"/>
        <v>105</v>
      </c>
      <c r="BB18" s="139">
        <f t="shared" si="15"/>
        <v>8</v>
      </c>
      <c r="BC18" s="135">
        <f>IF(ISNUMBER(W18),W18," - ")</f>
        <v>33</v>
      </c>
      <c r="BD18" s="136">
        <f>IF(ISNUMBER(BA18/AZ18),BA18/AZ18," - ")</f>
        <v>1</v>
      </c>
      <c r="BE18" s="137">
        <f>IF(ISNUMBER(BB18/BA18),BB18/BA18, " - ")</f>
        <v>7.6190476190476197E-2</v>
      </c>
      <c r="BF18" s="137">
        <f>IF(ISNUMBER(BC18/BA18),BC18/BA18, " - ")</f>
        <v>0.31428571428571428</v>
      </c>
      <c r="BG18" s="209">
        <f>IF(ISNUMBER((AY18+AZ18)/BA18),(AY18+AZ18)/BA18," - ")</f>
        <v>1.0761904761904761</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246</v>
      </c>
      <c r="J21" s="196">
        <v>273</v>
      </c>
      <c r="K21" s="196">
        <v>323</v>
      </c>
      <c r="L21" s="196">
        <v>197</v>
      </c>
      <c r="M21" s="196">
        <v>290</v>
      </c>
      <c r="N21" s="196">
        <v>21</v>
      </c>
      <c r="O21" s="196">
        <v>417</v>
      </c>
      <c r="P21" s="196">
        <v>480</v>
      </c>
      <c r="Q21" s="196">
        <v>1136</v>
      </c>
      <c r="R21" s="196">
        <v>566</v>
      </c>
      <c r="S21" s="196">
        <v>269</v>
      </c>
      <c r="T21" s="196">
        <v>273</v>
      </c>
      <c r="U21" s="196">
        <v>296</v>
      </c>
      <c r="V21" s="196">
        <v>246</v>
      </c>
      <c r="W21" s="196">
        <v>279</v>
      </c>
      <c r="X21" s="202">
        <v>17</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205</v>
      </c>
      <c r="AT21" s="345"/>
      <c r="AU21" s="215"/>
      <c r="AV21" s="216"/>
      <c r="AW21" s="215"/>
      <c r="AX21" s="216"/>
      <c r="AY21" s="138">
        <f t="shared" si="16"/>
        <v>269</v>
      </c>
      <c r="AZ21" s="139">
        <f t="shared" si="17"/>
        <v>273</v>
      </c>
      <c r="BA21" s="139">
        <f t="shared" si="18"/>
        <v>296</v>
      </c>
      <c r="BB21" s="139">
        <f t="shared" si="19"/>
        <v>246</v>
      </c>
      <c r="BC21" s="135">
        <f t="shared" si="20"/>
        <v>279</v>
      </c>
      <c r="BD21" s="136">
        <f t="shared" si="12"/>
        <v>1.0842490842490842</v>
      </c>
      <c r="BE21" s="137">
        <f t="shared" si="13"/>
        <v>0.83108108108108103</v>
      </c>
      <c r="BF21" s="137">
        <f t="shared" si="14"/>
        <v>0.94256756756756754</v>
      </c>
      <c r="BG21" s="209">
        <f t="shared" si="11"/>
        <v>1.8310810810810811</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667</v>
      </c>
      <c r="J23" s="197">
        <f t="shared" si="21"/>
        <v>2421</v>
      </c>
      <c r="K23" s="197">
        <f t="shared" si="21"/>
        <v>2500</v>
      </c>
      <c r="L23" s="197">
        <f t="shared" si="21"/>
        <v>608</v>
      </c>
      <c r="M23" s="197">
        <f t="shared" si="21"/>
        <v>546</v>
      </c>
      <c r="N23" s="197">
        <f t="shared" si="21"/>
        <v>1606</v>
      </c>
      <c r="O23" s="197">
        <f t="shared" si="21"/>
        <v>478</v>
      </c>
      <c r="P23" s="197">
        <f t="shared" si="21"/>
        <v>553</v>
      </c>
      <c r="Q23" s="197">
        <f t="shared" si="21"/>
        <v>1228</v>
      </c>
      <c r="R23" s="197">
        <f t="shared" si="21"/>
        <v>644</v>
      </c>
      <c r="S23" s="197">
        <f t="shared" si="21"/>
        <v>750</v>
      </c>
      <c r="T23" s="197">
        <f t="shared" si="21"/>
        <v>2207</v>
      </c>
      <c r="U23" s="197">
        <f t="shared" si="21"/>
        <v>2299</v>
      </c>
      <c r="V23" s="197">
        <f t="shared" si="21"/>
        <v>667</v>
      </c>
      <c r="W23" s="197">
        <f t="shared" si="21"/>
        <v>581</v>
      </c>
      <c r="X23" s="197">
        <f t="shared" si="21"/>
        <v>1461</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750</v>
      </c>
      <c r="AZ23" s="197">
        <f>SUBTOTAL(9,AZ15:AZ22)</f>
        <v>2207</v>
      </c>
      <c r="BA23" s="197">
        <f>SUBTOTAL(9,BA15:BA22)</f>
        <v>2299</v>
      </c>
      <c r="BB23" s="197">
        <f>SUBTOTAL(9,BB15:BB22)</f>
        <v>667</v>
      </c>
      <c r="BC23" s="197">
        <f>SUBTOTAL(9,BC15:BC22)</f>
        <v>581</v>
      </c>
      <c r="BD23" s="219">
        <f>IF(ISNUMBER(BA23/AZ23),BA23/AZ23," - ")</f>
        <v>1.0416855459900318</v>
      </c>
      <c r="BE23" s="220">
        <f>IF(ISNUMBER(BB23/BA23),BB23/BA23, " - ")</f>
        <v>0.29012614180078294</v>
      </c>
      <c r="BF23" s="220">
        <f>IF(ISNUMBER(BC23/BA23),BC23/BA23, " - ")</f>
        <v>0.25271857329273595</v>
      </c>
      <c r="BG23" s="221">
        <f>IF(ISNUMBER((AY23+AZ23)/BA23),(AY23+AZ23)/BA23," - ")</f>
        <v>1.2862113962592432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1789</v>
      </c>
      <c r="J31" s="144">
        <f t="shared" si="36"/>
        <v>4149</v>
      </c>
      <c r="K31" s="144">
        <f t="shared" si="36"/>
        <v>3984</v>
      </c>
      <c r="L31" s="144">
        <f t="shared" si="36"/>
        <v>1978</v>
      </c>
      <c r="M31" s="144">
        <f t="shared" si="36"/>
        <v>839</v>
      </c>
      <c r="N31" s="144">
        <f t="shared" si="36"/>
        <v>2567</v>
      </c>
      <c r="O31" s="144">
        <f t="shared" si="36"/>
        <v>915</v>
      </c>
      <c r="P31" s="144">
        <f t="shared" si="36"/>
        <v>761</v>
      </c>
      <c r="Q31" s="144">
        <f t="shared" si="36"/>
        <v>1632</v>
      </c>
      <c r="R31" s="144">
        <f t="shared" si="36"/>
        <v>1657</v>
      </c>
      <c r="S31" s="144">
        <f t="shared" si="36"/>
        <v>1795</v>
      </c>
      <c r="T31" s="144">
        <f t="shared" si="36"/>
        <v>3568</v>
      </c>
      <c r="U31" s="144">
        <f t="shared" si="36"/>
        <v>3430</v>
      </c>
      <c r="V31" s="144">
        <f t="shared" si="36"/>
        <v>1789</v>
      </c>
      <c r="W31" s="144">
        <f t="shared" si="36"/>
        <v>862</v>
      </c>
      <c r="X31" s="144">
        <f t="shared" si="36"/>
        <v>2136</v>
      </c>
      <c r="Y31" s="144">
        <f t="shared" si="36"/>
        <v>113</v>
      </c>
      <c r="Z31" s="144">
        <f t="shared" si="36"/>
        <v>181</v>
      </c>
      <c r="AA31" s="144">
        <f t="shared" si="36"/>
        <v>180</v>
      </c>
      <c r="AB31" s="144">
        <f t="shared" si="36"/>
        <v>106</v>
      </c>
      <c r="AC31" s="144">
        <f t="shared" si="36"/>
        <v>0</v>
      </c>
      <c r="AD31" s="144">
        <f t="shared" si="36"/>
        <v>4</v>
      </c>
      <c r="AE31" s="144">
        <f t="shared" si="36"/>
        <v>4</v>
      </c>
      <c r="AF31" s="144">
        <f t="shared" si="36"/>
        <v>0</v>
      </c>
      <c r="AG31" s="144">
        <f t="shared" si="36"/>
        <v>100</v>
      </c>
      <c r="AH31" s="144">
        <f t="shared" si="36"/>
        <v>202</v>
      </c>
      <c r="AI31" s="144">
        <f t="shared" si="36"/>
        <v>189</v>
      </c>
      <c r="AJ31" s="144">
        <f t="shared" si="36"/>
        <v>113</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1895</v>
      </c>
      <c r="AZ31" s="144">
        <f>SUBTOTAL(9,AZ9:AZ30)</f>
        <v>3770</v>
      </c>
      <c r="BA31" s="144">
        <f>SUBTOTAL(9,BA9:BA30)</f>
        <v>3619</v>
      </c>
      <c r="BB31" s="144">
        <f>SUBTOTAL(9,BB9:BB30)</f>
        <v>1902</v>
      </c>
      <c r="BC31" s="145">
        <f>SUBTOTAL(9,BC9:BC30)</f>
        <v>1265</v>
      </c>
      <c r="BD31" s="227">
        <f>IF(ISNUMBER(BA31/AZ31),BA31/AZ31," - ")</f>
        <v>0.95994694960212201</v>
      </c>
      <c r="BE31" s="224">
        <f>IF(ISNUMBER(BB31/BA31),BB31/BA31, " - ")</f>
        <v>0.52555954683614259</v>
      </c>
      <c r="BF31" s="224">
        <f>IF(ISNUMBER(BC31/BA31),BC31/BA31, " - ")</f>
        <v>0.34954407294832829</v>
      </c>
      <c r="BG31" s="145">
        <f>IF(ISNUMBER((AY31+AZ31)/BA31),(AY31+AZ31)/BA31," - ")</f>
        <v>1.5653495440729484</v>
      </c>
      <c r="BH31" s="225">
        <f>SUBTOTAL(9,BH9:BH30)</f>
        <v>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JP731i3xSEFCdsWIp9EyR/8LspGlANyij6Egy8G2811UU/+Z+wgaMQf1P5bna8nAkuWFoQ3yKXrnVn1/he2JQ==" saltValue="TU3DaKCUnmFpPy43mi0i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APPeBlV6d45kbbmhyjgCf/dFKkWTVXFDQYBEVuW4lD3bdTOuQWZJpFe91a8x+w+60DM4ZnBYPB+x3/51asTA==" saltValue="rcNBSYp9GKTcQo4YQ5Br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LA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0</v>
      </c>
      <c r="AD10" s="549"/>
      <c r="AE10" s="563"/>
      <c r="AF10" s="551">
        <f>IF(ISNUMBER(Datos!L10),Datos!L10,"-")</f>
        <v>19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6</v>
      </c>
      <c r="BE10" s="693" t="str">
        <f>IF(ISNUMBER(Datos!BW10),Datos!BW10," - ")</f>
        <v xml:space="preserve"> - </v>
      </c>
      <c r="BF10" s="762" t="str">
        <f>IF(ISNUMBER(Datos!BX10),Datos!BX10," - ")</f>
        <v xml:space="preserve"> - </v>
      </c>
      <c r="BG10" s="763">
        <f>IF(ISNUMBER(Datos!K10/Datos!J10),Datos!K10/Datos!J10," - ")</f>
        <v>1.0833333333333333</v>
      </c>
      <c r="BH10" s="764">
        <f>IF(ISNUMBER(((Datos!L10/Datos!K10)*11)/factor_trimestre),((Datos!L10/Datos!K10)*11)/factor_trimestre," - ")</f>
        <v>8.0384615384615383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320</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181</v>
      </c>
      <c r="O12" s="549"/>
      <c r="P12" s="549"/>
      <c r="Q12" s="547">
        <f>IF(ISNUMBER(Datos!P12),Datos!P12,0)</f>
        <v>207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106</v>
      </c>
      <c r="AI12" s="549" t="str">
        <f>IF(ISNUMBER(Datos!CD12),Datos!CD12,"-")</f>
        <v>-</v>
      </c>
      <c r="AJ12" s="549" t="str">
        <f>IF(ISNUMBER(Datos!EN12),Datos!EN12," - ")</f>
        <v xml:space="preserve"> - </v>
      </c>
      <c r="AK12" s="549"/>
      <c r="AL12" s="550"/>
      <c r="AM12" s="766">
        <f>IF(ISNUMBER(Datos!R12),Datos!R12," - ")</f>
        <v>1011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283</v>
      </c>
      <c r="BD12" s="693">
        <f>IF(ISNUMBER(Datos!N12),Datos!N12," - ")</f>
        <v>955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0.86896551724137927</v>
      </c>
      <c r="BH12" s="764">
        <f>IF(ISNUMBER(((IF(J_V="SI",Datos!L12/Datos!K12,(Datos!L12+Datos!AB12)/(Datos!K12+Datos!AA12)))*11)/factor_trimestre),((IF(J_V="SI",Datos!L12/Datos!K12,(Datos!L12+Datos!AB12)/(Datos!K12+Datos!AA12)))*11)/factor_trimestre," - ")</f>
        <v>9.7844932844932835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-0.1630794701986755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181</v>
      </c>
      <c r="O14" s="1199">
        <f t="shared" si="1"/>
        <v>0</v>
      </c>
      <c r="P14" s="1199">
        <f t="shared" si="1"/>
        <v>0</v>
      </c>
      <c r="Q14" s="1198">
        <f t="shared" si="1"/>
        <v>208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404</v>
      </c>
      <c r="AD14" s="1198">
        <f t="shared" si="2"/>
        <v>0</v>
      </c>
      <c r="AE14" s="1198">
        <f t="shared" si="2"/>
        <v>0</v>
      </c>
      <c r="AF14" s="1198">
        <f t="shared" si="2"/>
        <v>19</v>
      </c>
      <c r="AG14" s="1198">
        <f t="shared" si="2"/>
        <v>0</v>
      </c>
      <c r="AH14" s="1198">
        <f t="shared" si="2"/>
        <v>106</v>
      </c>
      <c r="AI14" s="1198">
        <f t="shared" si="2"/>
        <v>0</v>
      </c>
      <c r="AJ14" s="1198">
        <f t="shared" si="2"/>
        <v>0</v>
      </c>
      <c r="AK14" s="1198">
        <f t="shared" si="2"/>
        <v>0</v>
      </c>
      <c r="AL14" s="1198">
        <f t="shared" si="2"/>
        <v>0</v>
      </c>
      <c r="AM14" s="1198">
        <f t="shared" si="2"/>
        <v>1013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293</v>
      </c>
      <c r="BD14" s="1198">
        <f t="shared" si="2"/>
        <v>961</v>
      </c>
      <c r="BE14" s="1198">
        <f t="shared" si="2"/>
        <v>0</v>
      </c>
      <c r="BF14" s="1198">
        <f t="shared" si="2"/>
        <v>0</v>
      </c>
      <c r="BG14" s="1198">
        <f>IF(ISNUMBER(Datos!K14/Datos!J14),Datos!K14/Datos!J14," - ")</f>
        <v>0.85879629629629628</v>
      </c>
      <c r="BH14" s="1202">
        <f>IF(ISNUMBER(((Datos!L14/Datos!K14)*11)/factor_trimestre),((Datos!L14/Datos!K14)*11)/factor_trimestre," - ")</f>
        <v>10.154986522911052</v>
      </c>
      <c r="BI14" s="1198">
        <f>IF(ISNUMBER('Resol  Asuntos'!D14/NºAsuntos!G14),'Resol  Asuntos'!D14/NºAsuntos!G14," - ")</f>
        <v>0.17608173076923078</v>
      </c>
      <c r="BJ14" s="1198" t="str">
        <f>IF(ISNUMBER(Datos!CI14/Datos!CJ14),Datos!CI14/Datos!CJ14," - ")</f>
        <v xml:space="preserve"> - </v>
      </c>
      <c r="BK14" s="1198">
        <f>SUBTOTAL(9,BK8:BK13)</f>
        <v>0</v>
      </c>
      <c r="BL14" s="1198">
        <f>IF(ISNUMBER((I14-AB14+L14)/(F14)),(I14-AB14+L14)/(F14)," - ")</f>
        <v>-1.2380952380952381</v>
      </c>
      <c r="BM14" s="1203">
        <f>SUBTOTAL(9,BM9:BM13)</f>
        <v>0.83692052980132448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510</v>
      </c>
      <c r="C17" s="749" t="str">
        <f>Datos!A17</f>
        <v xml:space="preserve">Jdos. 1ª Instª. e Instr.                        </v>
      </c>
      <c r="D17" s="750"/>
      <c r="E17" s="1555">
        <f>IF(ISNUMBER(Datos!AQ17),Datos!AQ17," - ")</f>
        <v>2</v>
      </c>
      <c r="F17" s="740">
        <f>IF(ISNUMBER(AF17+AB17-Datos!J17-L17),AF17+AB17-Datos!J17-L17," - ")</f>
        <v>432</v>
      </c>
      <c r="G17" s="743">
        <f>IF(ISNUMBER(IF(D_I="SI",Datos!I17,Datos!I17+Datos!AC17)),IF(D_I="SI",Datos!I17,Datos!I17+Datos!AC17)," - ")</f>
        <v>413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2072</v>
      </c>
      <c r="AC17" s="240">
        <f>IF(ISNUMBER(Datos!Q17),Datos!Q17," - ")</f>
        <v>85</v>
      </c>
      <c r="AD17" s="374"/>
      <c r="AE17" s="562"/>
      <c r="AF17" s="741">
        <f>IF(ISNUMBER(IF(D_I="SI",Datos!L17,Datos!L17+Datos!AF17)),IF(D_I="SI",Datos!L17,Datos!L17+Datos!AF17)," - ")</f>
        <v>400</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238</v>
      </c>
      <c r="BD17" s="243">
        <f>IF(ISNUMBER(Datos!N17),Datos!N17," - ")</f>
        <v>1510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1.0156862745098039</v>
      </c>
      <c r="BH17" s="764">
        <f>IF(ISNUMBER(((IF(D_I="SI",Datos!L17/Datos!K17,(Datos!L17+Datos!AF17)/(Datos!K17+Datos!AE17)))*11)/factor_trimestre),((IF(D_I="SI",Datos!L17/Datos!K17,(Datos!L17+Datos!AF17)/(Datos!K17+Datos!AE17)))*11)/factor_trimestre," - ")</f>
        <v>2.1235521235521237</v>
      </c>
      <c r="BI17" s="266">
        <f>IF(ISNUMBER('Resol  Asuntos'!D17/NºAsuntos!G17),'Resol  Asuntos'!D17/NºAsuntos!G17," - ")</f>
        <v>0.11486486486486487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v>
      </c>
      <c r="AC18" s="547">
        <f>IF(ISNUMBER(Datos!Q18),Datos!Q18," - ")</f>
        <v>7</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0.97222222222222221</v>
      </c>
      <c r="BH18" s="764">
        <f>IF(ISNUMBER(((IF(D_I="SI",Datos!L18/Datos!K18,(Datos!L18+Datos!AF18)/(Datos!K18+Datos!AE18)))*11)/factor_trimestre),((IF(D_I="SI",Datos!L18/Datos!K18,(Datos!L18+Datos!AF18)/(Datos!K18+Datos!AE18)))*11)/factor_trimestre," - ")</f>
        <v>1.1523809523809525</v>
      </c>
      <c r="BI18" s="763">
        <f>IF(ISNUMBER('Resol  Asuntos'!D18/NºAsuntos!G18),'Resol  Asuntos'!D18/NºAsuntos!G18," - ")</f>
        <v>0.17142857142857143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1</v>
      </c>
      <c r="F21" s="552">
        <f>IF(ISNUMBER(Datos!L21+Datos!K21-Datos!J21),Datos!L21+Datos!K21-Datos!J21," - ")</f>
        <v>247</v>
      </c>
      <c r="G21" s="543">
        <f>IF(ISNUMBER(Datos!I21),Datos!I21," - ")</f>
        <v>246</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480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323</v>
      </c>
      <c r="AC21" s="547">
        <f>IF(ISNUMBER(Datos!Q21),Datos!Q21," - ")</f>
        <v>1136</v>
      </c>
      <c r="AD21" s="549"/>
      <c r="AE21" s="563"/>
      <c r="AF21" s="551">
        <f>IF(ISNUMBER(Datos!L21),Datos!L21,"-")</f>
        <v>197</v>
      </c>
      <c r="AG21" s="549"/>
      <c r="AH21" s="549"/>
      <c r="AI21" s="549"/>
      <c r="AJ21" s="549"/>
      <c r="AK21" s="549"/>
      <c r="AL21" s="550"/>
      <c r="AM21" s="766">
        <f>IF(ISNUMBER(Datos!R21),Datos!R21," - ")</f>
        <v>566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290</v>
      </c>
      <c r="BD21" s="693"/>
      <c r="BE21" s="693" t="str">
        <f>IF(ISNUMBER(Datos!BW21),Datos!BW21," - ")</f>
        <v xml:space="preserve"> - </v>
      </c>
      <c r="BF21" s="762" t="str">
        <f>IF(ISNUMBER(Datos!BX21),Datos!BX21," - ")</f>
        <v xml:space="preserve"> - </v>
      </c>
      <c r="BG21" s="763">
        <f>IF(ISNUMBER(Datos!K21/Datos!J21),Datos!K21/Datos!J21," - ")</f>
        <v>1.1831501831501832</v>
      </c>
      <c r="BH21" s="764">
        <f>IF(ISNUMBER(((Datos!L21/Datos!K21)*11)/factor_trimestre),((Datos!L21/Datos!K21)*11)/factor_trimestre," - ")</f>
        <v>6.7089783281733748</v>
      </c>
      <c r="BI21" s="763">
        <f>IF(ISNUMBER('Resol  Asuntos'!D21/NºAsuntos!G21),'Resol  Asuntos'!D21/NºAsuntos!G21," - ")</f>
        <v>0.89783281733746134</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679</v>
      </c>
      <c r="G23" s="1197">
        <f>SUBTOTAL(9,G16:G22)</f>
        <v>667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2500</v>
      </c>
      <c r="AC23" s="1198">
        <f t="shared" si="5"/>
        <v>1228</v>
      </c>
      <c r="AD23" s="1198">
        <f t="shared" si="5"/>
        <v>0</v>
      </c>
      <c r="AE23" s="1198">
        <f t="shared" si="5"/>
        <v>0</v>
      </c>
      <c r="AF23" s="1198">
        <f t="shared" si="5"/>
        <v>608</v>
      </c>
      <c r="AG23" s="1198">
        <f t="shared" si="5"/>
        <v>0</v>
      </c>
      <c r="AH23" s="1198">
        <f t="shared" si="5"/>
        <v>0</v>
      </c>
      <c r="AI23" s="1198">
        <f t="shared" si="5"/>
        <v>0</v>
      </c>
      <c r="AJ23" s="1198">
        <f t="shared" si="5"/>
        <v>0</v>
      </c>
      <c r="AK23" s="1198">
        <f t="shared" si="5"/>
        <v>0</v>
      </c>
      <c r="AL23" s="1198">
        <f t="shared" si="5"/>
        <v>0</v>
      </c>
      <c r="AM23" s="1198">
        <f t="shared" si="5"/>
        <v>644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546</v>
      </c>
      <c r="BD23" s="1198">
        <f t="shared" si="5"/>
        <v>1585</v>
      </c>
      <c r="BE23" s="1198">
        <f t="shared" si="5"/>
        <v>0</v>
      </c>
      <c r="BF23" s="1198">
        <f t="shared" si="5"/>
        <v>0</v>
      </c>
      <c r="BG23" s="1198">
        <f>IF(ISNUMBER(Datos!K23/Datos!J23),Datos!K23/Datos!J23," - ")</f>
        <v>1.0326311441553078</v>
      </c>
      <c r="BH23" s="1202">
        <f>IF(ISNUMBER(((Datos!L23/Datos!K23)*11)/factor_trimestre),((Datos!L23/Datos!K23)*11)/factor_trimestre," - ")</f>
        <v>2.6751999999999998</v>
      </c>
      <c r="BI23" s="1198">
        <f>SUBTOTAL(9,BI16:BI22)</f>
        <v>1.1841262536308976</v>
      </c>
      <c r="BJ23" s="1198">
        <f>SUBTOTAL(9,BJ16:BJ22)</f>
        <v>0</v>
      </c>
      <c r="BK23" s="1198">
        <f>SUBTOTAL(9,BK16:BK22)</f>
        <v>0</v>
      </c>
      <c r="BL23" s="1198">
        <f>IF(ISNUMBER((I23-AB23+L23)/(F23)),(I23-AB23+L23)/(F23)," - ")</f>
        <v>-3.6818851251840941</v>
      </c>
      <c r="BM23" s="1205">
        <f>IF(ISNUMBER((Datos!P23-Datos!Q23)/(Datos!R23-Datos!P23+Datos!Q23)),(Datos!P23-Datos!Q23)/(Datos!R23-Datos!P23+Datos!Q23)," - ")</f>
        <v>-0.51175132676269897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5</v>
      </c>
      <c r="F31" s="1117">
        <f t="shared" si="18"/>
        <v>700</v>
      </c>
      <c r="G31" s="1117">
        <f t="shared" si="18"/>
        <v>688</v>
      </c>
      <c r="H31" s="1119">
        <f t="shared" si="18"/>
        <v>0</v>
      </c>
      <c r="I31" s="1117">
        <f t="shared" si="18"/>
        <v>0</v>
      </c>
      <c r="J31" s="1119">
        <f t="shared" si="18"/>
        <v>0</v>
      </c>
      <c r="K31" s="1119">
        <f t="shared" si="18"/>
        <v>0</v>
      </c>
      <c r="L31" s="1180">
        <f t="shared" si="18"/>
        <v>0</v>
      </c>
      <c r="M31" s="1180">
        <f t="shared" si="18"/>
        <v>0</v>
      </c>
      <c r="N31" s="1180">
        <f t="shared" si="18"/>
        <v>181</v>
      </c>
      <c r="O31" s="1180">
        <f t="shared" si="18"/>
        <v>0</v>
      </c>
      <c r="P31" s="1180">
        <f t="shared" si="18"/>
        <v>0</v>
      </c>
      <c r="Q31" s="1119">
        <f t="shared" si="18"/>
        <v>761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2526</v>
      </c>
      <c r="AC31" s="1118">
        <f t="shared" si="19"/>
        <v>1632</v>
      </c>
      <c r="AD31" s="1118">
        <f t="shared" si="19"/>
        <v>0</v>
      </c>
      <c r="AE31" s="1118">
        <f t="shared" si="19"/>
        <v>0</v>
      </c>
      <c r="AF31" s="1125">
        <f t="shared" si="19"/>
        <v>627</v>
      </c>
      <c r="AG31" s="1125">
        <f t="shared" si="19"/>
        <v>0</v>
      </c>
      <c r="AH31" s="1125">
        <f t="shared" si="19"/>
        <v>106</v>
      </c>
      <c r="AI31" s="1125">
        <f t="shared" si="19"/>
        <v>0</v>
      </c>
      <c r="AJ31" s="1118">
        <f t="shared" si="19"/>
        <v>0</v>
      </c>
      <c r="AK31" s="1125">
        <f t="shared" si="19"/>
        <v>0</v>
      </c>
      <c r="AL31" s="1125">
        <f t="shared" si="19"/>
        <v>0</v>
      </c>
      <c r="AM31" s="1125">
        <f t="shared" si="19"/>
        <v>1657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839</v>
      </c>
      <c r="BD31" s="1117">
        <f t="shared" si="19"/>
        <v>2546</v>
      </c>
      <c r="BE31" s="1117">
        <f t="shared" si="19"/>
        <v>0</v>
      </c>
      <c r="BF31" s="1127">
        <f t="shared" si="19"/>
        <v>0</v>
      </c>
      <c r="BG31" s="1223">
        <f>IF(ISNUMBER(Datos!K31/Datos!J31),Datos!K31/Datos!J31," - ")</f>
        <v>0.96023138105567607</v>
      </c>
      <c r="BH31" s="1223">
        <f>IF(ISNUMBER(((Datos!L31/Datos!K31)*11)/factor_trimestre),((Datos!L31/Datos!K31)*11)/factor_trimestre," - ")</f>
        <v>5.4613453815261046</v>
      </c>
      <c r="BI31" s="1103">
        <f>IF(ISNUMBER(Datos!J31/Datos!I31),Datos!J31/Datos!I31," - ")</f>
        <v>2.3191727221911682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-3.6085714285714285</v>
      </c>
      <c r="BM31" s="1188">
        <f>IF(ISNUMBER((Datos!P31-Datos!Q31+R31)/(Datos!R31-Datos!P31+Datos!Q31-R31)),(Datos!P31-Datos!Q31+R31)/(Datos!R31-Datos!P31+Datos!Q31-R31)," - ")</f>
        <v>-0.34454113924050633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0.96427411113412598</v>
      </c>
      <c r="F33" s="673">
        <f>IF(ISNUMBER(STDEV(F8:F30)),STDEV(F8:F30),"-")</f>
        <v>267.56805987760697</v>
      </c>
      <c r="G33" s="674">
        <f>IF(ISNUMBER(STDEV(G8:G30)),STDEV(G8:G30),"-")</f>
        <v>250.78391381540288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1032.9950905705491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191.17015399318424</v>
      </c>
      <c r="BD33" s="673"/>
      <c r="BE33" s="673">
        <f>IF(ISNUMBER(STDEV(BE8:BE30)),STDEV(BE8:BE30),"-")</f>
        <v>0</v>
      </c>
      <c r="BF33" s="678">
        <f>IF(ISNUMBER(STDEV(BF8:BF30)),STDEV(BF8:BF30),"-")</f>
        <v>0</v>
      </c>
      <c r="BG33" s="1052">
        <f>IF(ISNUMBER(STDEV(BG8:BG30)),STDEV(BG8:BG30),"-")</f>
        <v>0.11521587235110287</v>
      </c>
      <c r="BH33" s="1058">
        <f>IF(ISNUMBER(STDEV(BH8:BH30)),STDEV(BH8:BH30),"-")</f>
        <v>3.7762381190450456</v>
      </c>
      <c r="BI33" s="273">
        <f>IF(ISNUMBER(STDEV(BI8:BI30)),STDEV(BI8:BI30),"-")</f>
        <v>0.49676903024842339</v>
      </c>
      <c r="BJ33" s="244" t="str">
        <f>IF(ISNUMBER(BL33/BM33),BL33/BM33," - ")</f>
        <v xml:space="preserve"> - </v>
      </c>
      <c r="BK33" s="709"/>
      <c r="BL33" s="681">
        <f>IF(ISNUMBER(STDEV(BL8:BL30)),STDEV(BL8:BL30),"-")</f>
        <v>1.7280204009556368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gTcgUwmOf19gXmy3SgifJ07szb03/LUua5Pzi5Y/Bp4FAymOyCI+54nvlAB5GEkf1zu87SmZwn2VabqFcXzf/A==" saltValue="HVyPkxiKJnbzd4oz9/Ok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LA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0</v>
      </c>
      <c r="AA10" s="551">
        <f>IF(ISNUMBER(Datos!L10),Datos!L10,"-")</f>
        <v>19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10</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8.0384615384615383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320</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404</v>
      </c>
      <c r="AA12" s="551" t="str">
        <f>IF(ISNUMBER(IF(J_V="SI",Datos!L12,Datos!L12+Datos!AB12)-IF(Monitorios="SI",Datos!CD12,0)),
                          IF(J_V="SI",Datos!L12,Datos!L12+Datos!AB12)-IF(Monitorios="SI",Datos!CD12,0),
                          " - ")</f>
        <v xml:space="preserve"> - </v>
      </c>
      <c r="AB12" s="549"/>
      <c r="AC12" s="549"/>
      <c r="AD12" s="563"/>
      <c r="AE12" s="563">
        <f>IF(ISNUMBER(Datos!R12),Datos!R12," - ")</f>
        <v>1011</v>
      </c>
      <c r="AF12" s="693" t="str">
        <f>IF(ISNUMBER(Datos!BV12),Datos!BV12," - ")</f>
        <v xml:space="preserve"> - </v>
      </c>
      <c r="AG12" s="552" t="str">
        <f>IF(ISNUMBER(Datos!DV12),Datos!DV12," - ")</f>
        <v xml:space="preserve"> - </v>
      </c>
      <c r="AH12" s="553"/>
      <c r="AI12" s="554"/>
      <c r="AJ12" s="552">
        <f>IF(ISNUMBER(Datos!M12),Datos!M12," - ")</f>
        <v>283</v>
      </c>
      <c r="AK12" s="693">
        <f>IF(ISNUMBER(Datos!N12),Datos!N12," - ")</f>
        <v>955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9.7844932844932835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-0.1630794701986755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208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404</v>
      </c>
      <c r="AA14" s="1199">
        <f t="shared" si="3"/>
        <v>19</v>
      </c>
      <c r="AB14" s="1199">
        <f t="shared" si="3"/>
        <v>0</v>
      </c>
      <c r="AC14" s="1199">
        <f t="shared" si="3"/>
        <v>0</v>
      </c>
      <c r="AD14" s="1199">
        <f t="shared" si="3"/>
        <v>0</v>
      </c>
      <c r="AE14" s="1199">
        <f t="shared" si="3"/>
        <v>1013</v>
      </c>
      <c r="AF14" s="1211">
        <f t="shared" si="3"/>
        <v>0</v>
      </c>
      <c r="AG14" s="1211">
        <f t="shared" si="3"/>
        <v>0</v>
      </c>
      <c r="AH14" s="1211">
        <f t="shared" si="3"/>
        <v>0</v>
      </c>
      <c r="AI14" s="1211">
        <f t="shared" si="3"/>
        <v>0</v>
      </c>
      <c r="AJ14" s="1211">
        <f t="shared" si="3"/>
        <v>293</v>
      </c>
      <c r="AK14" s="1211">
        <f t="shared" si="3"/>
        <v>961</v>
      </c>
      <c r="AL14" s="1211">
        <f t="shared" si="3"/>
        <v>0</v>
      </c>
      <c r="AM14" s="1211">
        <f t="shared" si="3"/>
        <v>0</v>
      </c>
      <c r="AN14" s="1211">
        <f t="shared" si="3"/>
        <v>0</v>
      </c>
      <c r="AO14" s="1203">
        <f>IF(ISNUMBER(((NºAsuntos!I14/NºAsuntos!G14)*11)/factor_trimestre),((NºAsuntos!I14/NºAsuntos!G14)*11)/factor_trimestre," - ")</f>
        <v>9.7572115384615383</v>
      </c>
      <c r="AP14" s="1213" t="str">
        <f>IF(ISNUMBER(Datos!CI14/Datos!CJ14),Datos!CI14/Datos!CJ14," - ")</f>
        <v xml:space="preserve"> - </v>
      </c>
      <c r="AQ14" s="1236">
        <f t="shared" ref="AQ14:AV14" si="4">SUBTOTAL(9,AQ9:AQ13)</f>
        <v>0</v>
      </c>
      <c r="AR14" s="1236">
        <f t="shared" si="4"/>
        <v>0.83692052980132448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510</v>
      </c>
      <c r="C17" s="765" t="str">
        <f>Datos!A17</f>
        <v xml:space="preserve">Jdos. 1ª Instª. e Instr.                        </v>
      </c>
      <c r="D17" s="593"/>
      <c r="E17" s="1558">
        <f>IF(ISNUMBER(Datos!AQ17),Datos!AQ17," - ")</f>
        <v>2</v>
      </c>
      <c r="F17" s="543">
        <f>IF(ISNUMBER(AA17+Y17-Datos!J17-K16),AA17+Y17-Datos!J17-K16," - ")</f>
        <v>432</v>
      </c>
      <c r="G17" s="552">
        <f>IF(ISNUMBER(IF(D_I="SI",Datos!I17,Datos!I17+Datos!AC17)),IF(D_I="SI",Datos!I17,Datos!I17+Datos!AC17)," - ")</f>
        <v>413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2072</v>
      </c>
      <c r="Z17" s="805">
        <f>IF(ISNUMBER(Datos!Q17),Datos!Q17," - ")</f>
        <v>85</v>
      </c>
      <c r="AA17" s="551">
        <f>IF(ISNUMBER(IF(D_I="SI",Datos!L17,Datos!L17+Datos!AF17)),IF(D_I="SI",Datos!L17,Datos!L17+Datos!AF17)," - ")</f>
        <v>400</v>
      </c>
      <c r="AB17" s="549"/>
      <c r="AC17" s="549"/>
      <c r="AD17" s="563"/>
      <c r="AE17" s="563">
        <f>IF(ISNUMBER(Datos!R17),Datos!R17," - ")</f>
        <v>78</v>
      </c>
      <c r="AF17" s="693" t="str">
        <f>IF(ISNUMBER(Datos!BV17),Datos!BV17," - ")</f>
        <v xml:space="preserve"> - </v>
      </c>
      <c r="AG17" s="552"/>
      <c r="AH17" s="553"/>
      <c r="AI17" s="554"/>
      <c r="AJ17" s="552">
        <f>IF(ISNUMBER(Datos!M17),Datos!M17," - ")</f>
        <v>238</v>
      </c>
      <c r="AK17" s="693">
        <f>IF(ISNUMBER(Datos!N17),Datos!N17," - ")</f>
        <v>1510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2.1235521235521237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v>
      </c>
      <c r="Z18" s="805">
        <f>IF(ISNUMBER(Datos!Q18),Datos!Q18," - ")</f>
        <v>7</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18</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1.1523809523809525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1</v>
      </c>
      <c r="F21" s="552">
        <f>IF(ISNUMBER(Datos!L21+Datos!K21-Datos!J21),Datos!L21+Datos!K21-Datos!J21," - ")</f>
        <v>247</v>
      </c>
      <c r="G21" s="552">
        <f>IF(ISNUMBER(Datos!I21),Datos!I21," - ")</f>
        <v>246</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480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323</v>
      </c>
      <c r="Z21" s="805">
        <f>IF(ISNUMBER(Datos!Q21),Datos!Q21," - ")</f>
        <v>1136</v>
      </c>
      <c r="AA21" s="551">
        <f>IF(ISNUMBER(Datos!L21),Datos!L21,"-")</f>
        <v>197</v>
      </c>
      <c r="AB21" s="549"/>
      <c r="AC21" s="549"/>
      <c r="AD21" s="563"/>
      <c r="AE21" s="563">
        <f>IF(ISNUMBER(Datos!R21),Datos!R21," - ")</f>
        <v>566</v>
      </c>
      <c r="AF21" s="693" t="str">
        <f>IF(ISNUMBER(Datos!BV21),Datos!BV21," - ")</f>
        <v xml:space="preserve"> - </v>
      </c>
      <c r="AG21" s="552"/>
      <c r="AH21" s="553"/>
      <c r="AI21" s="554"/>
      <c r="AJ21" s="552">
        <f>IF(ISNUMBER(Datos!M21),Datos!M21," - ")</f>
        <v>290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6.7089783281733748</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679</v>
      </c>
      <c r="G23" s="1197">
        <f>SUBTOTAL(9,G16:G22)</f>
        <v>667</v>
      </c>
      <c r="H23" s="1240">
        <f>SUBTOTAL(9,H16:H22)</f>
        <v>0</v>
      </c>
      <c r="I23" s="1217">
        <f>SUBTOTAL(9,I16:I22)</f>
        <v>0</v>
      </c>
      <c r="J23" s="1164">
        <f>SUBTOTAL(9,J15:J22)</f>
        <v>0</v>
      </c>
      <c r="K23" s="1240">
        <f t="shared" ref="K23:S23" si="5">SUBTOTAL(9,K16:K22)</f>
        <v>0</v>
      </c>
      <c r="L23" s="1240">
        <f t="shared" si="5"/>
        <v>0</v>
      </c>
      <c r="M23" s="1240">
        <f t="shared" si="5"/>
        <v>0</v>
      </c>
      <c r="N23" s="1240">
        <f t="shared" si="5"/>
        <v>553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2500</v>
      </c>
      <c r="Z23" s="1240">
        <f t="shared" si="6"/>
        <v>1228</v>
      </c>
      <c r="AA23" s="1240">
        <f t="shared" si="6"/>
        <v>608</v>
      </c>
      <c r="AB23" s="1240">
        <f t="shared" si="6"/>
        <v>0</v>
      </c>
      <c r="AC23" s="1240">
        <f t="shared" si="6"/>
        <v>0</v>
      </c>
      <c r="AD23" s="1240">
        <f t="shared" si="6"/>
        <v>0</v>
      </c>
      <c r="AE23" s="1240">
        <f t="shared" si="6"/>
        <v>644</v>
      </c>
      <c r="AF23" s="1240">
        <f t="shared" si="6"/>
        <v>0</v>
      </c>
      <c r="AG23" s="1240">
        <f t="shared" si="6"/>
        <v>0</v>
      </c>
      <c r="AH23" s="1240">
        <f t="shared" si="6"/>
        <v>0</v>
      </c>
      <c r="AI23" s="1240">
        <f t="shared" si="6"/>
        <v>0</v>
      </c>
      <c r="AJ23" s="1240">
        <f t="shared" si="6"/>
        <v>546</v>
      </c>
      <c r="AK23" s="1240">
        <f t="shared" si="6"/>
        <v>1585</v>
      </c>
      <c r="AL23" s="1240">
        <f t="shared" si="6"/>
        <v>0</v>
      </c>
      <c r="AM23" s="1240">
        <f t="shared" si="6"/>
        <v>0</v>
      </c>
      <c r="AN23" s="1240">
        <f t="shared" si="6"/>
        <v>0</v>
      </c>
      <c r="AO23" s="1242">
        <f>IF(ISNUMBER(((NºAsuntos!I23/NºAsuntos!G23)*11)/factor_trimestre),((NºAsuntos!I23/NºAsuntos!G23)*11)/factor_trimestre," - ")</f>
        <v>2.6751999999999998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v>
      </c>
      <c r="F31" s="1117">
        <f t="shared" si="12"/>
        <v>700</v>
      </c>
      <c r="G31" s="1117">
        <f t="shared" si="12"/>
        <v>688</v>
      </c>
      <c r="H31" s="1118">
        <f t="shared" si="12"/>
        <v>0</v>
      </c>
      <c r="I31" s="1117">
        <f t="shared" si="12"/>
        <v>0</v>
      </c>
      <c r="J31" s="1119">
        <f t="shared" si="12"/>
        <v>0</v>
      </c>
      <c r="K31" s="1117">
        <f t="shared" si="12"/>
        <v>0</v>
      </c>
      <c r="L31" s="1120">
        <f t="shared" si="12"/>
        <v>0</v>
      </c>
      <c r="M31" s="1117">
        <f t="shared" si="12"/>
        <v>0</v>
      </c>
      <c r="N31" s="1118">
        <f t="shared" si="12"/>
        <v>761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2526</v>
      </c>
      <c r="Z31" s="1124">
        <f t="shared" si="13"/>
        <v>1632</v>
      </c>
      <c r="AA31" s="1125">
        <f t="shared" si="13"/>
        <v>627</v>
      </c>
      <c r="AB31" s="1125">
        <f t="shared" si="13"/>
        <v>0</v>
      </c>
      <c r="AC31" s="1125">
        <f t="shared" si="13"/>
        <v>0</v>
      </c>
      <c r="AD31" s="1126">
        <f t="shared" si="13"/>
        <v>0</v>
      </c>
      <c r="AE31" s="1126">
        <f t="shared" si="13"/>
        <v>1657</v>
      </c>
      <c r="AF31" s="1127">
        <f t="shared" si="13"/>
        <v>0</v>
      </c>
      <c r="AG31" s="1128">
        <f t="shared" si="13"/>
        <v>0</v>
      </c>
      <c r="AH31" s="1129">
        <f t="shared" si="13"/>
        <v>0</v>
      </c>
      <c r="AI31" s="1127">
        <f t="shared" si="13"/>
        <v>0</v>
      </c>
      <c r="AJ31" s="1117">
        <f t="shared" si="13"/>
        <v>839</v>
      </c>
      <c r="AK31" s="1117">
        <f t="shared" si="13"/>
        <v>2546</v>
      </c>
      <c r="AL31" s="1117">
        <f t="shared" si="13"/>
        <v>0</v>
      </c>
      <c r="AM31" s="1130">
        <f t="shared" si="13"/>
        <v>0</v>
      </c>
      <c r="AN31" s="1120">
        <f>IF(ISNUMBER(Datos!K31/Datos!J31),Datos!K31/Datos!J31," - ")</f>
        <v>0.96023138105567607</v>
      </c>
      <c r="AO31" s="1120">
        <f>IF(ISNUMBER(FIND("06",Criterios!A8,1)),(IF(ISNUMBER(((Datos!R31/Datos!Q31)*11)/factor_trimestre),((Datos!R31/Datos!Q31)*11)/factor_trimestre," - ")),(IF(ISNUMBER(((Datos!L31/Datos!K31)*11)/factor_trimestre),((Datos!L31/Datos!K31)*11)/factor_trimestre," - ")))</f>
        <v>5.4613453815261046</v>
      </c>
      <c r="AP31" s="1131" t="str">
        <f>IF(ISNUMBER(Datos!CI31/Datos!CJ31),Datos!CI31/Datos!CJ31," - ")</f>
        <v xml:space="preserve"> - </v>
      </c>
      <c r="AQ31" s="1131">
        <f>IF(OR(ISNUMBER(FIND("01",Criterios!A8,1)),ISNUMBER(FIND("02",Criterios!A8,1)),ISNUMBER(FIND("03",Criterios!A8,1)),ISNUMBER(FIND("04",Criterios!A8,1))),(J31-Y31+K31)/(F31-K31),(I31-Y31+K31)/(F31-K31))</f>
        <v>-3.6085714285714285</v>
      </c>
      <c r="AR31" s="1131">
        <f>IF(ISNUMBER((Datos!P31-Datos!Q31+O31)/(Datos!R31-Datos!P31+Datos!Q31-O31)),(Datos!P31-Datos!Q31+O31)/(Datos!R31-Datos!P31+Datos!Q31-O31)," - ")</f>
        <v>-0.34454113924050633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267.56805987760697</v>
      </c>
      <c r="G33" s="674">
        <f>IF(ISNUMBER(STDEV(G8:G30)),STDEV(G8:G30),"-")</f>
        <v>250.78391381540288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191.17015399318424</v>
      </c>
      <c r="AK33" s="276"/>
      <c r="AL33" s="276">
        <f>IF(ISNUMBER(STDEV(AL8:AL30)),STDEV(AL8:AL30),"-")</f>
        <v>0</v>
      </c>
      <c r="AM33" s="278">
        <f>IF(ISNUMBER(STDEV(AM8:AM30)),STDEV(AM8:AM30),"-")</f>
        <v>0</v>
      </c>
      <c r="AN33" s="660">
        <f>IF(ISNUMBER(STDEV(AN8:AN30)),STDEV(AN8:AN30),"-")</f>
        <v>0</v>
      </c>
      <c r="AO33" s="661">
        <f>IF(ISNUMBER(STDEV(AO8:AO30)),STDEV(AO8:AO30),"-")</f>
        <v>3.7021431331060803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WHyuXa+hRtd6rBKlJcXngcoxkxxVhHmp7Lo6+WjzkuvNE1EhwTPr2xwPKG5W8hqhi/GorlFRFXl1VPElkzTeA==" saltValue="5QqB7EpwTH1q5Ix935kY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5+vztKf5H/29tXqP/pntXNChg7tyjDKAe0ievoUNd4lA8Bd+Joy2m6RaJvHn3GuZvuhNkEJ3yfClRdyOPIDEMg==" saltValue="8TlO0yQiX2Atsml7l9fJ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AkpzD8ZT/eS975S2O9nHBjpugMdVMwIELOH+k4AEcgK3jvy6QJUHYfk1wnTl6hsSj9h9/0LD6Wt7Jf6ZCYTxQ==" saltValue="YJDnZ89X5lUv8av0++8A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0.17608173076923078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0.12450858586998705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1Q/CZp8aMqC0RSV1Y04I7znG7DZvcweyRXlxpjuU0KbWUMynhonSgqVKakpCz6tuybijRBQ7QpTeyk8pStx74g==" saltValue="tRvDQS6QBcdj8E+Zyzqg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hUqmPOo6SiXXD/UdZXU8BiDVyyU1a9CMQB/+v2bj26nLvSvTMUU8nwdxKRcDPxlHoi3IIMHuN6KWkp2duRT2Hw==" saltValue="qYT4rLbchsHBaU+TpKcf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LA PALMA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24</v>
      </c>
      <c r="F10" s="452">
        <f>IF(ISNUMBER(E10/B10),E10/B10," - ")</f>
        <v>24</v>
      </c>
      <c r="G10" s="451">
        <f>IF(ISNUMBER(Datos!K10),Datos!K10," - ")</f>
        <v>26</v>
      </c>
      <c r="H10" s="452">
        <f>IF(ISNUMBER(G10/B10),G10/B10," - ")</f>
        <v>26</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1214</v>
      </c>
      <c r="D12" s="452">
        <f>IF(ISNUMBER(C12/Datos!BH12),C12/Datos!BH12," - ")</f>
        <v>607</v>
      </c>
      <c r="E12" s="451">
        <f>IF(ISNUMBER(IF(J_V="SI",Datos!J12,Datos!J12+Datos!Z12)),IF(J_V="SI",Datos!J12,Datos!J12+Datos!Z12)," - ")</f>
        <v>1885</v>
      </c>
      <c r="F12" s="452">
        <f>IF(ISNUMBER(E12/B12),E12/B12," - ")</f>
        <v>942.5</v>
      </c>
      <c r="G12" s="451">
        <f>IF(ISNUMBER(IF(J_V="SI",Datos!K12,Datos!K12+Datos!AA12)),IF(J_V="SI",Datos!K12,Datos!K12+Datos!AA12)," - ")</f>
        <v>1638</v>
      </c>
      <c r="H12" s="452">
        <f>IF(ISNUMBER(G12/B12),G12/B12," - ")</f>
        <v>819</v>
      </c>
      <c r="I12" s="451">
        <f>IF(ISNUMBER(IF(J_V="SI",Datos!L12,Datos!L12+Datos!AB12)),IF(J_V="SI",Datos!L12,Datos!L12+Datos!AB12)," - ")</f>
        <v>1457</v>
      </c>
      <c r="J12" s="452">
        <f>IF(ISNUMBER(I12/B12),I12/B12," - ")</f>
        <v>728.5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1235</v>
      </c>
      <c r="D14" s="1147" t="str">
        <f>IF(ISNUMBER(C14/Datos!BI14),C14/Datos!BI14," - ")</f>
        <v xml:space="preserve"> - </v>
      </c>
      <c r="E14" s="1146">
        <f>SUBTOTAL(9,E8:E13)</f>
        <v>1909</v>
      </c>
      <c r="F14" s="1147">
        <f>IF(ISNUMBER(E14/B14),E14/B14," - ")</f>
        <v>954.5</v>
      </c>
      <c r="G14" s="1146">
        <f>SUBTOTAL(9,G8:G13)</f>
        <v>1664</v>
      </c>
      <c r="H14" s="1147">
        <f>IF(ISNUMBER(G14/B14),G14/B14," - ")</f>
        <v>832</v>
      </c>
      <c r="I14" s="1146">
        <f>SUBTOTAL(9,I8:I13)</f>
        <v>1476</v>
      </c>
      <c r="J14" s="1147">
        <f>IF(ISNUMBER(I14/B14),I14/B14," - ")</f>
        <v>738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413</v>
      </c>
      <c r="D17" s="452">
        <f>IF(ISNUMBER(C17/Datos!BH17),C17/Datos!BH17," - ")</f>
        <v>206.5</v>
      </c>
      <c r="E17" s="451">
        <f>IF(ISNUMBER(IF(D_I="SI",Datos!J17,Datos!J17+Datos!AD17)),IF(D_I="SI",Datos!J17,Datos!J17+Datos!AD17)," - ")</f>
        <v>2040</v>
      </c>
      <c r="F17" s="452">
        <f>IF(ISNUMBER(E17/B17),E17/B17," - ")</f>
        <v>1020</v>
      </c>
      <c r="G17" s="451">
        <f>IF(ISNUMBER(IF(D_I="SI",Datos!K17,Datos!K17+Datos!AE17)),IF(D_I="SI",Datos!K17,Datos!K17+Datos!AE17)," - ")</f>
        <v>2072</v>
      </c>
      <c r="H17" s="452">
        <f>IF(ISNUMBER(G17/B17),G17/B17," - ")</f>
        <v>1036</v>
      </c>
      <c r="I17" s="451">
        <f>IF(ISNUMBER(IF(D_I="SI",Datos!L17,Datos!L17+Datos!AF17)),IF(D_I="SI",Datos!L17,Datos!L17+Datos!AF17)," - ")</f>
        <v>400</v>
      </c>
      <c r="J17" s="452">
        <f>IF(ISNUMBER(I17/B17),I17/B17," - ")</f>
        <v>200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108</v>
      </c>
      <c r="F18" s="452">
        <f>IF(ISNUMBER(E18/B18),E18/B18," - ")</f>
        <v>108</v>
      </c>
      <c r="G18" s="451">
        <f>IF(ISNUMBER(IF(D_I="SI",Datos!K18,Datos!K18+Datos!AE18)),IF(D_I="SI",Datos!K18,Datos!K18+Datos!AE18)," - ")</f>
        <v>105</v>
      </c>
      <c r="H18" s="452">
        <f>IF(ISNUMBER(G18/B18),G18/B18," - ")</f>
        <v>105</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246</v>
      </c>
      <c r="D21" s="452">
        <f>IF(ISNUMBER(C21/Datos!BH21),C21/Datos!BH21," - ")</f>
        <v>246</v>
      </c>
      <c r="E21" s="451">
        <f>IF(ISNUMBER(Datos!J21),Datos!J21," - ")</f>
        <v>273</v>
      </c>
      <c r="F21" s="452">
        <f>IF(ISNUMBER(E21/B21),E21/B21," - ")</f>
        <v>273</v>
      </c>
      <c r="G21" s="451">
        <f>IF(ISNUMBER(Datos!K21),Datos!K21," - ")</f>
        <v>323</v>
      </c>
      <c r="H21" s="452">
        <f>IF(ISNUMBER(G21/B21),G21/B21," - ")</f>
        <v>323</v>
      </c>
      <c r="I21" s="451">
        <f>IF(ISNUMBER(Datos!L21),Datos!L21," - ")</f>
        <v>197</v>
      </c>
      <c r="J21" s="452">
        <f>IF(ISNUMBER(I21/B21),I21/B21," - ")</f>
        <v>197</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667</v>
      </c>
      <c r="D23" s="1147" t="str">
        <f>IF(ISNUMBER(C23/Datos!BI23),C23/Datos!BI23," - ")</f>
        <v xml:space="preserve"> - </v>
      </c>
      <c r="E23" s="1146">
        <f>SUBTOTAL(9,E15:E22)</f>
        <v>2421</v>
      </c>
      <c r="F23" s="1147">
        <f>IF(ISNUMBER(E23/B23),E23/B23," - ")</f>
        <v>807</v>
      </c>
      <c r="G23" s="1146">
        <f>SUBTOTAL(9,G15:G22)</f>
        <v>2500</v>
      </c>
      <c r="H23" s="1147">
        <f>IF(ISNUMBER(G23/B23),G23/B23," - ")</f>
        <v>833.33333333333337</v>
      </c>
      <c r="I23" s="1146">
        <f>SUBTOTAL(9,I15:I22)</f>
        <v>608</v>
      </c>
      <c r="J23" s="1147">
        <f>IF(ISNUMBER(I23/B23),I23/B23," - ")</f>
        <v>202.66666666666666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1902</v>
      </c>
      <c r="D31" s="1085" t="str">
        <f>IF(ISNUMBER(C31/Datos!BI31),C31/Datos!BI31," - ")</f>
        <v xml:space="preserve"> - </v>
      </c>
      <c r="E31" s="1084">
        <f>SUBTOTAL(9,E9:E30)</f>
        <v>4330</v>
      </c>
      <c r="F31" s="1085">
        <f>IF(ISNUMBER(E31/B31),E31/B31," - ")</f>
        <v>1443.3333333333333</v>
      </c>
      <c r="G31" s="1084">
        <f>SUBTOTAL(9,G9:G30)</f>
        <v>4164</v>
      </c>
      <c r="H31" s="1085">
        <f>IF(ISNUMBER(G31/B31),G31/B31," - ")</f>
        <v>1388</v>
      </c>
      <c r="I31" s="1084">
        <f>SUBTOTAL(9,I9:I30)</f>
        <v>2084</v>
      </c>
      <c r="J31" s="1085">
        <f>IF(ISNUMBER(I31/B31),I31/B31," - ")</f>
        <v>694.66666666666663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E2QfivxZbF7XrJVILnZFzSCmDn6VhDQvmwLguSipMMMXKaXdLEHtU4zvLeoj5dyxNmXY04gsiw2TZ8Y86esPmQ==" saltValue="51qctquRiRqDU5W2eOyH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8.0384615384615383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320</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283</v>
      </c>
      <c r="AM12" s="914">
        <f>IF(ISNUMBER(Datos!N12+DatosP!N17),Datos!N12+DatosP!N17," - ")</f>
        <v>955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9.7844932844932835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-0.1630794701986755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208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404</v>
      </c>
      <c r="AE14" s="1257">
        <f t="shared" si="1"/>
        <v>0</v>
      </c>
      <c r="AF14" s="1257">
        <f t="shared" si="1"/>
        <v>19</v>
      </c>
      <c r="AG14" s="1257">
        <f t="shared" si="1"/>
        <v>0</v>
      </c>
      <c r="AH14" s="1257">
        <f t="shared" si="1"/>
        <v>1011</v>
      </c>
      <c r="AI14" s="1257">
        <f t="shared" si="1"/>
        <v>0</v>
      </c>
      <c r="AJ14" s="1257">
        <f t="shared" si="1"/>
        <v>0</v>
      </c>
      <c r="AK14" s="1257">
        <f t="shared" si="1"/>
        <v>0</v>
      </c>
      <c r="AL14" s="1257">
        <f t="shared" si="1"/>
        <v>293</v>
      </c>
      <c r="AM14" s="1257">
        <f t="shared" si="1"/>
        <v>961</v>
      </c>
      <c r="AN14" s="1257">
        <f t="shared" si="1"/>
        <v>0</v>
      </c>
      <c r="AO14" s="1257">
        <f t="shared" si="1"/>
        <v>0</v>
      </c>
      <c r="AP14" s="1262">
        <f>IF(ISNUMBER(((Datos!L14/Datos!K14)*11)/factor_trimestre),((Datos!L14/Datos!K14)*11)/factor_trimestre," - ")</f>
        <v>10.154986522911052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-1.2380952380952381</v>
      </c>
      <c r="AU14" s="1257" t="str">
        <f>IF(ISNUMBER((DatosP!#REF!-DatosP!#REF!+DatosP!#REF!)/(DatosP!#REF!+DatosP!#REF!-DatosP!#REF!-DatosP!#REF!)),(DatosP!#REF!-DatosP!#REF!+DatosP!#REF!)/(DatosP!#REF!+DatosP!#REF!-DatosP!#REF!-DatosP!#REF!)," - ")</f>
        <v xml:space="preserve"> - </v>
      </c>
      <c r="AV14" s="1263">
        <f>SUBTOTAL(9,AV9:AV13)</f>
        <v>-0.1630794701986755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2.6751999999999998</v>
      </c>
      <c r="AQ23" s="1262">
        <f>IF(ISNUMBER(((Datos!M23/Datos!L23)*11)/factor_trimestre),((Datos!M23/Datos!L23)*11)/factor_trimestre," - ")</f>
        <v>9.8782894736842106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-0.51175132676269897</v>
      </c>
      <c r="AW23" s="1265">
        <f>IF(ISNUMBER((Datos!Q23-Datos!R23)/(Datos!S23-Datos!Q23+Datos!R23)),(Datos!Q23-Datos!R23)/(Datos!S23-Datos!Q23+Datos!R23)," - ")</f>
        <v>3.5180722891566263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208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404</v>
      </c>
      <c r="AE31" s="1284">
        <f t="shared" si="9"/>
        <v>0</v>
      </c>
      <c r="AF31" s="1285">
        <f t="shared" si="9"/>
        <v>19</v>
      </c>
      <c r="AG31" s="1285">
        <f t="shared" si="9"/>
        <v>0</v>
      </c>
      <c r="AH31" s="1285">
        <f t="shared" si="9"/>
        <v>1011</v>
      </c>
      <c r="AI31" s="1285">
        <f t="shared" si="9"/>
        <v>0</v>
      </c>
      <c r="AJ31" s="1286">
        <f t="shared" si="9"/>
        <v>0</v>
      </c>
      <c r="AK31" s="1286">
        <f t="shared" si="9"/>
        <v>0</v>
      </c>
      <c r="AL31" s="1278">
        <f t="shared" si="9"/>
        <v>293</v>
      </c>
      <c r="AM31" s="1278">
        <f t="shared" si="9"/>
        <v>961</v>
      </c>
      <c r="AN31" s="1278">
        <f t="shared" si="9"/>
        <v>0</v>
      </c>
      <c r="AO31" s="1278">
        <f t="shared" si="9"/>
        <v>0</v>
      </c>
      <c r="AP31" s="1278">
        <f>IF(ISNUMBER(((Datos!L31/Datos!K31)*11)/factor_trimestre),((Datos!L31/Datos!K31)*11)/factor_trimestre," - ")</f>
        <v>5.4613453815261046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-1.2380952380952381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-0.34454113924050633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147.5163267800099</v>
      </c>
      <c r="AM33" s="1006"/>
      <c r="AN33" s="1006">
        <f>IF(ISNUMBER(STDEV(AN8:AN30)),STDEV(AN8:AN30),"-")</f>
        <v>0</v>
      </c>
      <c r="AO33" s="1012">
        <f>IF(ISNUMBER(STDEV(AO8:AO30)),STDEV(AO8:AO30),"-")</f>
        <v>0</v>
      </c>
      <c r="AP33" s="1065">
        <f>IF(ISNUMBER(STDEV(AP8:AP30)),STDEV(AP8:AP30),"-")</f>
        <v>3.4510795638329701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ZCL5Tzzg6dxFqG8c7Z/eK/MRAAWRIMNXL3G23XpJf3C7dPWPL1rAn30WhXkMtGNFdZIGrS3jKRru38J1Z/OMTg==" saltValue="5L9J7EY5G3qeWepvH/+u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LA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Z+UCWspNjXGfCIefzVaFzNoBxEdH7jTiKieVWV4862LzHLBzqDISPYHT8J15VreZPjmrEJU5xcF8qciYzskqg==" saltValue="9Pe33BKpQbSGMUAtHhyN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LA PALMA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6</v>
      </c>
      <c r="G10" s="452">
        <f>IF(ISNUMBER(F10/B10),F10/B10," - ")</f>
        <v>6</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283</v>
      </c>
      <c r="E12" s="452">
        <f t="shared" si="0"/>
        <v>141.5</v>
      </c>
      <c r="F12" s="451">
        <f>IF(ISNUMBER(Datos!N12),Datos!N12," - ")</f>
        <v>955</v>
      </c>
      <c r="G12" s="452">
        <f t="shared" si="1"/>
        <v>477.5</v>
      </c>
      <c r="H12" s="451">
        <f>IF(ISNUMBER(Datos!O12),Datos!O12," - ")</f>
        <v>435</v>
      </c>
      <c r="I12" s="452">
        <f t="shared" si="2"/>
        <v>217.5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293</v>
      </c>
      <c r="E14" s="1147">
        <f t="shared" si="0"/>
        <v>97.666666666666671</v>
      </c>
      <c r="F14" s="1146">
        <f>SUBTOTAL(9,F9:F13)</f>
        <v>961</v>
      </c>
      <c r="G14" s="1147">
        <f t="shared" si="1"/>
        <v>320.33333333333331</v>
      </c>
      <c r="H14" s="1146">
        <f>SUBTOTAL(9,H9:H13)</f>
        <v>437</v>
      </c>
      <c r="I14" s="1147">
        <f>IF(ISNUMBER(H14/B14),H14/B14," - ")</f>
        <v>145.66666666666666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238</v>
      </c>
      <c r="E17" s="452">
        <f t="shared" si="3"/>
        <v>119</v>
      </c>
      <c r="F17" s="451">
        <f>IF(ISNUMBER(Datos!N17),Datos!N17," - ")</f>
        <v>1510</v>
      </c>
      <c r="G17" s="452">
        <f t="shared" si="4"/>
        <v>755</v>
      </c>
      <c r="H17" s="451">
        <f>IF(ISNUMBER(Datos!O17),Datos!O17," - ")</f>
        <v>56</v>
      </c>
      <c r="I17" s="452">
        <f t="shared" si="5"/>
        <v>28</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75</v>
      </c>
      <c r="G18" s="452">
        <f>IF(ISNUMBER(F18/B18),F18/B18," - ")</f>
        <v>75</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290</v>
      </c>
      <c r="E21" s="452">
        <f t="shared" si="3"/>
        <v>290</v>
      </c>
      <c r="F21" s="451">
        <f>IF(ISNUMBER(Datos!N21),Datos!N21," - ")</f>
        <v>21</v>
      </c>
      <c r="G21" s="452">
        <f t="shared" si="4"/>
        <v>21</v>
      </c>
      <c r="H21" s="451">
        <f>IF(ISNUMBER(Datos!O21),Datos!O21," - ")</f>
        <v>417</v>
      </c>
      <c r="I21" s="452">
        <f t="shared" si="5"/>
        <v>417</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546</v>
      </c>
      <c r="E23" s="1147">
        <f t="shared" si="3"/>
        <v>136.5</v>
      </c>
      <c r="F23" s="1146">
        <f>SUBTOTAL(9,F16:F22)</f>
        <v>1606</v>
      </c>
      <c r="G23" s="1147">
        <f t="shared" si="4"/>
        <v>401.5</v>
      </c>
      <c r="H23" s="1146">
        <f>SUBTOTAL(9,H16:H22)</f>
        <v>478</v>
      </c>
      <c r="I23" s="1147">
        <f>IF(ISNUMBER(H23/B23),H23/B23," - ")</f>
        <v>119.5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839</v>
      </c>
      <c r="E31" s="1085">
        <f>IF(ISNUMBER(D31/B31),D31/B31," - ")</f>
        <v>279.66666666666669</v>
      </c>
      <c r="F31" s="1084">
        <f>SUBTOTAL(9,F8:F30)</f>
        <v>2567</v>
      </c>
      <c r="G31" s="1085">
        <f>IF(ISNUMBER(F31/B31),F31/B31," - ")</f>
        <v>855.66666666666663</v>
      </c>
      <c r="H31" s="1084">
        <f>SUBTOTAL(9,H8:H30)</f>
        <v>915</v>
      </c>
      <c r="I31" s="1085">
        <f>IF(ISNUMBER(H31/B31),H31/B31," - ")</f>
        <v>305</v>
      </c>
    </row>
    <row r="34" spans="1:1">
      <c r="A34" s="439" t="str">
        <f>Criterios!A4</f>
        <v>Fecha Informe: 14 abr. 2023</v>
      </c>
    </row>
    <row r="39" spans="1:1">
      <c r="A39" s="462"/>
    </row>
  </sheetData>
  <sheetProtection algorithmName="SHA-512" hashValue="Px9bnrBDODSbWMvYyWqo6fcvtdtwWCRSt0iNnImYwYH04jAoiO3UutVgamiM75YAPDy2fVbx63+jCaetzoRhCQ==" saltValue="g4pkOWbdcuPTlDroPbgL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LA PALMA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207</v>
      </c>
      <c r="C12" s="489">
        <f>IF(ISNUMBER(Datos!Q12),Datos!Q12," - ")</f>
        <v>404</v>
      </c>
      <c r="D12" s="456">
        <f>IF(ISNUMBER(Datos!R12),Datos!R12," - ")</f>
        <v>1011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208</v>
      </c>
      <c r="C14" s="1150">
        <f>SUBTOTAL(9,C9:C13)</f>
        <v>404</v>
      </c>
      <c r="D14" s="1148">
        <f>SUBTOTAL(9,D9:D13)</f>
        <v>1013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66</v>
      </c>
      <c r="C17" s="489">
        <f>IF(ISNUMBER(Datos!Q17),Datos!Q17," - ")</f>
        <v>85</v>
      </c>
      <c r="D17" s="456">
        <f>IF(ISNUMBER(Datos!R17),Datos!R17," - ")</f>
        <v>78</v>
      </c>
    </row>
    <row r="18" spans="1:4">
      <c r="A18" s="450" t="str">
        <f>Datos!A18</f>
        <v>Jdos. Violencia contra la mujer</v>
      </c>
      <c r="B18" s="488">
        <f>IF(ISNUMBER(Datos!P18),Datos!P18," - ")</f>
        <v>7</v>
      </c>
      <c r="C18" s="489">
        <f>IF(ISNUMBER(Datos!Q18),Datos!Q18," - ")</f>
        <v>7</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480</v>
      </c>
      <c r="C21" s="489">
        <f>IF(ISNUMBER(Datos!Q21),Datos!Q21," - ")</f>
        <v>1136</v>
      </c>
      <c r="D21" s="456">
        <f>IF(ISNUMBER(Datos!R21),Datos!R21," - ")</f>
        <v>566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553</v>
      </c>
      <c r="C23" s="1150">
        <f>SUBTOTAL(9,C16:C22)</f>
        <v>1228</v>
      </c>
      <c r="D23" s="1148">
        <f>SUBTOTAL(9,D16:D22)</f>
        <v>644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761</v>
      </c>
      <c r="C31" s="1089">
        <f>SUBTOTAL(9,C8:C30)</f>
        <v>1632</v>
      </c>
      <c r="D31" s="1090">
        <f>SUBTOTAL(9,D8:D30)</f>
        <v>1657</v>
      </c>
    </row>
    <row r="32" spans="1:4" ht="7.5" customHeight="1"/>
    <row r="33" spans="1:1" ht="6" customHeight="1"/>
    <row r="34" spans="1:1">
      <c r="A34" s="439" t="str">
        <f>Criterios!A4</f>
        <v>Fecha Informe: 14 abr. 2023</v>
      </c>
    </row>
    <row r="39" spans="1:1">
      <c r="A39" s="462"/>
    </row>
  </sheetData>
  <sheetProtection algorithmName="SHA-512" hashValue="omRBqRxa6lavj6iojg77x4p37AnUL/THQmHskZYpSj07Zk2lAuYIMz4NDv211hScflkvJgwx7KAW8GTiP6iI/g==" saltValue="u1OIoizgQCwxA4NJb6gT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LA PALMA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-0.14285714285714285</v>
      </c>
      <c r="D10" s="515">
        <f>IF(ISNUMBER((Datos!K10-Datos!U10)/Datos!U10),(Datos!K10-Datos!U10)/Datos!U10," - ")</f>
        <v>0.04</v>
      </c>
      <c r="E10" s="515">
        <f>IF(ISNUMBER((Datos!L10-Datos!V10)/Datos!V10),(Datos!L10-Datos!V10)/Datos!V10," - ")</f>
        <v>-9.5238095238095233E-2</v>
      </c>
      <c r="F10" s="515">
        <f>IF(ISNUMBER((Datos!M10-Datos!W10)/Datos!W10),(Datos!M10-Datos!W10)/Datos!W10," - ")</f>
        <v>-0.16666666666666666</v>
      </c>
      <c r="G10" s="516">
        <f>IF(ISNUMBER((Datos!N10-Datos!X10)/Datos!X10),(Datos!N10-Datos!X10)/Datos!X10," - ")</f>
        <v>1</v>
      </c>
      <c r="H10" s="514">
        <f>IF(ISNUMBER(((NºAsuntos!G10/NºAsuntos!E10)-Datos!BD10)/Datos!BD10),((NºAsuntos!G10/NºAsuntos!E10)-Datos!BD10)/Datos!BD10," - ")</f>
        <v>0.21333333333333318</v>
      </c>
      <c r="I10" s="515">
        <f>IF(ISNUMBER(((NºAsuntos!I10/NºAsuntos!G10)-Datos!BE10)/Datos!BE10),((NºAsuntos!I10/NºAsuntos!G10)-Datos!BE10)/Datos!BE10," - ")</f>
        <v>-0.13003663003663005</v>
      </c>
      <c r="J10" s="521">
        <f>IF(ISNUMBER((('Resol  Asuntos'!D10/NºAsuntos!G10)-Datos!BF10)/Datos!BF10),(('Resol  Asuntos'!D10/NºAsuntos!G10)-Datos!BF10)/Datos!BF10," - ")</f>
        <v>-0.19871794871794865</v>
      </c>
      <c r="K10" s="522">
        <f>IF(ISNUMBER((((NºAsuntos!C10+NºAsuntos!E10)/NºAsuntos!G10)-Datos!BG10)/Datos!BG10),(((NºAsuntos!C10+NºAsuntos!E10)/NºAsuntos!G10)-Datos!BG10)/Datos!BG10," - ")</f>
        <v>-5.936454849498328E-2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7.7196095829636199E-2</v>
      </c>
      <c r="C12" s="515">
        <f>IF(ISNUMBER(
   IF(J_V="SI",(Datos!J12-Datos!T12)/Datos!T12,(Datos!J12+Datos!Z12-(Datos!T12+Datos!AH12))/(Datos!T12+Datos!AH12))
     ),IF(J_V="SI",(Datos!J12-Datos!T12)/Datos!T12,(Datos!J12+Datos!Z12-(Datos!T12+Datos!AH12))/(Datos!T12+Datos!AH12))," - ")</f>
        <v>0.2280130293159609</v>
      </c>
      <c r="D12" s="515">
        <f>IF(ISNUMBER(
   IF(J_V="SI",(Datos!K12-Datos!U12)/Datos!U12,(Datos!K12+Datos!AA12-(Datos!U12+Datos!AI12))/(Datos!U12+Datos!AI12))
     ),IF(J_V="SI",(Datos!K12-Datos!U12)/Datos!U12,(Datos!K12+Datos!AA12-(Datos!U12+Datos!AI12))/(Datos!U12+Datos!AI12))," - ")</f>
        <v>0.26486486486486488</v>
      </c>
      <c r="E12" s="515">
        <f>IF(ISNUMBER(
   IF(J_V="SI",(Datos!L12-Datos!V12)/Datos!V12,(Datos!L12+Datos!AB12-(Datos!V12+Datos!AJ12))/(Datos!V12+Datos!AJ12))
     ),IF(J_V="SI",(Datos!L12-Datos!V12)/Datos!V12,(Datos!L12+Datos!AB12-(Datos!V12+Datos!AJ12))/(Datos!V12+Datos!AJ12))," - ")</f>
        <v>0.200164744645799</v>
      </c>
      <c r="F12" s="515">
        <f>IF(ISNUMBER((Datos!M12-Datos!W12)/Datos!W12),(Datos!M12-Datos!W12)/Datos!W12," - ")</f>
        <v>5.204460966542751E-2</v>
      </c>
      <c r="G12" s="516">
        <f>IF(ISNUMBER((Datos!N12-Datos!X12)/Datos!X12),(Datos!N12-Datos!X12)/Datos!X12," - ")</f>
        <v>0.42113095238095238</v>
      </c>
      <c r="H12" s="514">
        <f>IF(ISNUMBER(((NºAsuntos!G12/NºAsuntos!E12)-Datos!BD12)/Datos!BD12),((NºAsuntos!G12/NºAsuntos!E12)-Datos!BD12)/Datos!BD12," - ")</f>
        <v>3.0009319664491982E-2</v>
      </c>
      <c r="I12" s="515">
        <f>IF(ISNUMBER(((NºAsuntos!I12/NºAsuntos!G12)-Datos!BE12)/Datos!BE12),((NºAsuntos!I12/NºAsuntos!G12)-Datos!BE12)/Datos!BE12," - ")</f>
        <v>-5.1151804446697452E-2</v>
      </c>
      <c r="J12" s="521">
        <f>IF(ISNUMBER((('Resol  Asuntos'!D12/NºAsuntos!G12)-Datos!BF12)/Datos!BF12),(('Resol  Asuntos'!D12/NºAsuntos!G12)-Datos!BF12)/Datos!BF12," - ")</f>
        <v>-0.66705458892958891</v>
      </c>
      <c r="K12" s="522">
        <f>IF(ISNUMBER((((NºAsuntos!C12+NºAsuntos!E12)/NºAsuntos!G12)-Datos!BG12)/Datos!BG12),(((NºAsuntos!C12+NºAsuntos!E12)/NºAsuntos!G12)-Datos!BG12)/Datos!BG12," - ")</f>
        <v>-7.9615288292974304E-2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7.8602620087336247E-2</v>
      </c>
      <c r="C14" s="1152">
        <f>IF(ISNUMBER(
   IF(J_V="SI",(Datos!J14-Datos!T14)/Datos!T14,(Datos!J14+Datos!Z14-(Datos!T14+Datos!AH14))/(Datos!T14+Datos!AH14))
     ),IF(J_V="SI",(Datos!J14-Datos!T14)/Datos!T14,(Datos!J14+Datos!Z14-(Datos!T14+Datos!AH14))/(Datos!T14+Datos!AH14))," - ")</f>
        <v>0.22136916186820219</v>
      </c>
      <c r="D14" s="1152">
        <f>IF(ISNUMBER(
   IF(J_V="SI",(Datos!K14-Datos!U14)/Datos!U14,(Datos!K14+Datos!AA14-(Datos!U14+Datos!AI14))/(Datos!U14+Datos!AI14))
     ),IF(J_V="SI",(Datos!K14-Datos!U14)/Datos!U14,(Datos!K14+Datos!AA14-(Datos!U14+Datos!AI14))/(Datos!U14+Datos!AI14))," - ")</f>
        <v>0.26060606060606062</v>
      </c>
      <c r="E14" s="1152">
        <f>IF(ISNUMBER(
   IF(J_V="SI",(Datos!L14-Datos!V14)/Datos!V14,(Datos!L14+Datos!AB14-(Datos!V14+Datos!AJ14))/(Datos!V14+Datos!AJ14))
     ),IF(J_V="SI",(Datos!L14-Datos!V14)/Datos!V14,(Datos!L14+Datos!AB14-(Datos!V14+Datos!AJ14))/(Datos!V14+Datos!AJ14))," - ")</f>
        <v>0.19514170040485829</v>
      </c>
      <c r="F14" s="1153">
        <f>IF(ISNUMBER((Datos!M14-Datos!W14)/Datos!W14),(Datos!M14-Datos!W14)/Datos!W14," - ")</f>
        <v>4.2704626334519574E-2</v>
      </c>
      <c r="G14" s="1154">
        <f>IF(ISNUMBER((Datos!N14-Datos!X14)/Datos!X14),(Datos!N14-Datos!X14)/Datos!X14," - ")</f>
        <v>0.42370370370370369</v>
      </c>
      <c r="H14" s="1154">
        <f>IF(ISNUMBER(((NºAsuntos!G14/NºAsuntos!E14)-Datos!BD14)/Datos!BD14),((NºAsuntos!G14/NºAsuntos!E14)-Datos!BD14)/Datos!BD14," - ")</f>
        <v>3.2125339301871551E-2</v>
      </c>
      <c r="I14" s="1154">
        <f>IF(ISNUMBER(((NºAsuntos!I14/NºAsuntos!G14)-Datos!BE14)/Datos!BE14),((NºAsuntos!I14/NºAsuntos!G14)-Datos!BE14)/Datos!BE14," - ")</f>
        <v>-5.1930862659607592E-2</v>
      </c>
      <c r="J14" s="1154">
        <f>IF(ISNUMBER((('Resol  Asuntos'!D14/NºAsuntos!G14)-Datos!BF14)/Datos!BF14),(('Resol  Asuntos'!D14/NºAsuntos!G14)-Datos!BF14)/Datos!BF14," - ")</f>
        <v>-0.66019315114709853</v>
      </c>
      <c r="K14" s="1154">
        <f>IF(ISNUMBER((((NºAsuntos!C14+NºAsuntos!E14)/NºAsuntos!G14)-Datos!BG14)/Datos!BG14),(((NºAsuntos!C14+NºAsuntos!E14)/NºAsuntos!G14)-Datos!BG14)/Datos!BG14," - ")</f>
        <v>-7.9010907851380652E-2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-0.12684989429175475</v>
      </c>
      <c r="C17" s="515">
        <f>IF(ISNUMBER(
   IF(D_I="SI",(Datos!J17-Datos!T17)/Datos!T17,(Datos!J17+Datos!AD17-(Datos!T17+Datos!AL17))/(Datos!T17+Datos!AL17))
     ),IF(D_I="SI",(Datos!J17-Datos!T17)/Datos!T17,(Datos!J17+Datos!AD17-(Datos!T17+Datos!AL17))/(Datos!T17+Datos!AL17))," - ")</f>
        <v>0.11536358665937671</v>
      </c>
      <c r="D17" s="515">
        <f>IF(ISNUMBER(
   IF(D_I="SI",(Datos!K17-Datos!U17)/Datos!U17,(Datos!K17+Datos!AE17-(Datos!U17+Datos!AM17))/(Datos!U17+Datos!AM17))
     ),IF(D_I="SI",(Datos!K17-Datos!U17)/Datos!U17,(Datos!K17+Datos!AE17-(Datos!U17+Datos!AM17))/(Datos!U17+Datos!AM17))," - ")</f>
        <v>9.1675447839831406E-2</v>
      </c>
      <c r="E17" s="515">
        <f>IF(ISNUMBER(
   IF(D_I="SI",(Datos!L17-Datos!V17)/Datos!V17,(Datos!L17+Datos!AF17-(Datos!V17+Datos!AN17))/(Datos!V17+Datos!AN17))
     ),IF(D_I="SI",(Datos!L17-Datos!V17)/Datos!V17,(Datos!L17+Datos!AF17-(Datos!V17+Datos!AN17))/(Datos!V17+Datos!AN17))," - ")</f>
        <v>-3.1476997578692496E-2</v>
      </c>
      <c r="F17" s="515">
        <f>IF(ISNUMBER((Datos!M17-Datos!W17)/Datos!W17),(Datos!M17-Datos!W17)/Datos!W17," - ")</f>
        <v>-0.11524163568773234</v>
      </c>
      <c r="G17" s="516">
        <f>IF(ISNUMBER((Datos!N17-Datos!X17)/Datos!X17),(Datos!N17-Datos!X17)/Datos!X17," - ")</f>
        <v>0.10218978102189781</v>
      </c>
      <c r="H17" s="514">
        <f>IF(ISNUMBER(((NºAsuntos!G17/NºAsuntos!E17)-Datos!BD17)/Datos!BD17),((NºAsuntos!G17/NºAsuntos!E17)-Datos!BD17)/Datos!BD17," - ")</f>
        <v>-2.1238042108307997E-2</v>
      </c>
      <c r="I17" s="515">
        <f>IF(ISNUMBER(((NºAsuntos!I17/NºAsuntos!G17)-Datos!BE17)/Datos!BE17),((NºAsuntos!I17/NºAsuntos!G17)-Datos!BE17)/Datos!BE17," - ")</f>
        <v>-0.11281049295577142</v>
      </c>
      <c r="J17" s="521">
        <f>IF(ISNUMBER((('Resol  Asuntos'!D17/NºAsuntos!G17)-Datos!BF17)/Datos!BF17),(('Resol  Asuntos'!D17/NºAsuntos!G17)-Datos!BF17)/Datos!BF17," - ")</f>
        <v>-0.18954084195719872</v>
      </c>
      <c r="K17" s="522">
        <f>IF(ISNUMBER((((NºAsuntos!C17+NºAsuntos!E17)/NºAsuntos!G17)-Datos!BG17)/Datos!BG17),(((NºAsuntos!C17+NºAsuntos!E17)/NºAsuntos!G17)-Datos!BG17)/Datos!BG17," - ")</f>
        <v>-2.3890171044819188E-2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2.8571428571428571E-2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0.375</v>
      </c>
      <c r="F18" s="515">
        <f>IF(ISNUMBER((Datos!M18-Datos!W18)/Datos!W18),(Datos!M18-Datos!W18)/Datos!W18," - ")</f>
        <v>-0.45454545454545453</v>
      </c>
      <c r="G18" s="516">
        <f>IF(ISNUMBER((Datos!N18-Datos!X18)/Datos!X18),(Datos!N18-Datos!X18)/Datos!X18," - ")</f>
        <v>1.3513513513513514E-2</v>
      </c>
      <c r="H18" s="514">
        <f>IF(ISNUMBER(((NºAsuntos!G18/NºAsuntos!E18)-Datos!BD18)/Datos!BD18),((NºAsuntos!G18/NºAsuntos!E18)-Datos!BD18)/Datos!BD18," - ")</f>
        <v>-2.777777777777779E-2</v>
      </c>
      <c r="I18" s="515">
        <f>IF(ISNUMBER(((NºAsuntos!I18/NºAsuntos!G18)-Datos!BE18)/Datos!BE18),((NºAsuntos!I18/NºAsuntos!G18)-Datos!BE18)/Datos!BE18," - ")</f>
        <v>0.37499999999999989</v>
      </c>
      <c r="J18" s="521">
        <f>IF(ISNUMBER((('Resol  Asuntos'!D18/NºAsuntos!G18)-Datos!BF18)/Datos!BF18),(('Resol  Asuntos'!D18/NºAsuntos!G18)-Datos!BF18)/Datos!BF18," - ")</f>
        <v>-0.45454545454545453</v>
      </c>
      <c r="K18" s="522">
        <f>IF(ISNUMBER((((NºAsuntos!C18+NºAsuntos!E18)/NºAsuntos!G18)-Datos!BG18)/Datos!BG18),(((NºAsuntos!C18+NºAsuntos!E18)/NºAsuntos!G18)-Datos!BG18)/Datos!BG18," - ")</f>
        <v>2.6548672566371796E-2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-8.5501858736059477E-2</v>
      </c>
      <c r="C21" s="515">
        <f>IF(ISNUMBER((Datos!J21-Datos!T21)/Datos!T21),(Datos!J21-Datos!T21)/Datos!T21," - ")</f>
        <v>0</v>
      </c>
      <c r="D21" s="515">
        <f>IF(ISNUMBER((Datos!K21-Datos!U21)/Datos!U21),(Datos!K21-Datos!U21)/Datos!U21," - ")</f>
        <v>9.1216216216216214E-2</v>
      </c>
      <c r="E21" s="515">
        <f>IF(ISNUMBER((Datos!L21-Datos!V21)/Datos!V21),(Datos!L21-Datos!V21)/Datos!V21," - ")</f>
        <v>-0.1991869918699187</v>
      </c>
      <c r="F21" s="515">
        <f>IF(ISNUMBER((Datos!M21-Datos!W21)/Datos!W21),(Datos!M21-Datos!W21)/Datos!W21," - ")</f>
        <v>3.9426523297491037E-2</v>
      </c>
      <c r="G21" s="516">
        <f>IF(ISNUMBER((Datos!N21-Datos!X21)/Datos!X21),(Datos!N21-Datos!X21)/Datos!X21," - ")</f>
        <v>0.23529411764705882</v>
      </c>
      <c r="H21" s="514">
        <f>IF(ISNUMBER(((NºAsuntos!G21/NºAsuntos!E21)-Datos!BD21)/Datos!BD21),((NºAsuntos!G21/NºAsuntos!E21)-Datos!BD21)/Datos!BD21," - ")</f>
        <v>9.1216216216216311E-2</v>
      </c>
      <c r="I21" s="515">
        <f>IF(ISNUMBER(((NºAsuntos!I21/NºAsuntos!G21)-Datos!BE21)/Datos!BE21),((NºAsuntos!I21/NºAsuntos!G21)-Datos!BE21)/Datos!BE21," - ")</f>
        <v>-0.26612801731732477</v>
      </c>
      <c r="J21" s="521">
        <f>IF(ISNUMBER((('Resol  Asuntos'!D21/NºAsuntos!G21)-Datos!BF21)/Datos!BF21),(('Resol  Asuntos'!D21/NºAsuntos!G21)-Datos!BF21)/Datos!BF21," - ")</f>
        <v>-4.7460523541618053E-2</v>
      </c>
      <c r="K21" s="522">
        <f>IF(ISNUMBER((((NºAsuntos!C21+NºAsuntos!E21)/NºAsuntos!G21)-Datos!BG21)/Datos!BG21),(((NºAsuntos!C21+NºAsuntos!E21)/NºAsuntos!G21)-Datos!BG21)/Datos!BG21," - ")</f>
        <v>-0.12247952200884246</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-0.11066666666666666</v>
      </c>
      <c r="C23" s="1152">
        <f>IF(ISNUMBER(
   IF(Criterios!B14="SI",(Datos!J23-Datos!T23)/Datos!T23,(Datos!J23+Datos!AD23-(Datos!T23+Datos!AL23))/(Datos!T23+Datos!AL23))
     ),IF(Criterios!B14="SI",(Datos!J23-Datos!T23)/Datos!T23,(Datos!J23+Datos!AD23-(Datos!T23+Datos!AL23))/(Datos!T23+Datos!AL23))," - ")</f>
        <v>9.696420480289987E-2</v>
      </c>
      <c r="D23" s="1152">
        <f>IF(ISNUMBER(
   IF(Criterios!B14="SI",(Datos!K23-Datos!U23)/Datos!U23,(Datos!K23+Datos!AE23-(Datos!U23+Datos!AM23))/(Datos!U23+Datos!AM23))
     ),IF(Criterios!B14="SI",(Datos!K23-Datos!U23)/Datos!U23,(Datos!K23+Datos!AE23-(Datos!U23+Datos!AM23))/(Datos!U23+Datos!AM23))," - ")</f>
        <v>8.7429317094388864E-2</v>
      </c>
      <c r="E23" s="1152">
        <f>IF(ISNUMBER(
   IF(Criterios!B14="SI",(Datos!L23-Datos!V23)/Datos!V23,(Datos!L23+Datos!AF23-(Datos!V23+Datos!AN23))/(Datos!V23+Datos!AN23))
     ),IF(Criterios!B14="SI",(Datos!L23-Datos!V23)/Datos!V23,(Datos!L23+Datos!AF23-(Datos!V23+Datos!AN23))/(Datos!V23+Datos!AN23))," - ")</f>
        <v>-8.8455772113943024E-2</v>
      </c>
      <c r="F23" s="1153">
        <f>IF(ISNUMBER((Datos!M23-Datos!W23)/Datos!W23),(Datos!M23-Datos!W23)/Datos!W23," - ")</f>
        <v>-6.0240963855421686E-2</v>
      </c>
      <c r="G23" s="1154">
        <f>IF(ISNUMBER((Datos!N23-Datos!X23)/Datos!X23),(Datos!N23-Datos!X23)/Datos!X23," - ")</f>
        <v>9.9247091033538667E-2</v>
      </c>
      <c r="H23" s="1154">
        <f>IF(ISNUMBER(((NºAsuntos!G23/NºAsuntos!E23)-Datos!BD23)/Datos!BD23),((NºAsuntos!G23/NºAsuntos!E23)-Datos!BD23)/Datos!BD23," - ")</f>
        <v>-8.6920682249830329E-3</v>
      </c>
      <c r="I23" s="1154">
        <f>IF(ISNUMBER(((NºAsuntos!I23/NºAsuntos!G23)-Datos!BE23)/Datos!BE23),((NºAsuntos!I23/NºAsuntos!G23)-Datos!BE23)/Datos!BE23," - ")</f>
        <v>-0.161743928035982</v>
      </c>
      <c r="J23" s="1154">
        <f>IF(ISNUMBER((('Resol  Asuntos'!D23/NºAsuntos!G23)-Datos!BF23)/Datos!BF23),(('Resol  Asuntos'!D23/NºAsuntos!G23)-Datos!BF23)/Datos!BF23," - ")</f>
        <v>-0.13579759036144565</v>
      </c>
      <c r="K23" s="1154">
        <f>IF(ISNUMBER((((NºAsuntos!C23+NºAsuntos!E23)/NºAsuntos!G23)-Datos!BG23)/Datos!BG23),(((NºAsuntos!C23+NºAsuntos!E23)/NºAsuntos!G23)-Datos!BG23)/Datos!BG23," - ")</f>
        <v>-3.9660196144741262E-2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3.6939313984168864E-3</v>
      </c>
      <c r="C31" s="1092">
        <f>IF(ISNUMBER(
   IF(J_V="SI",(Datos!J31-Datos!T31)/Datos!T31,(Datos!J31+Datos!Z31-(Datos!T31+Datos!AH31))/(Datos!T31+Datos!AH31))
     ),IF(J_V="SI",(Datos!J31-Datos!T31)/Datos!T31,(Datos!J31+Datos!Z31-(Datos!T31+Datos!AH31))/(Datos!T31+Datos!AH31))," - ")</f>
        <v>0.14854111405835543</v>
      </c>
      <c r="D31" s="1092">
        <f>IF(ISNUMBER(
   IF(J_V="SI",(Datos!K31-Datos!U31)/Datos!U31,(Datos!K31+Datos!AA31-(Datos!U31+Datos!AI31))/(Datos!U31+Datos!AI31))
     ),IF(J_V="SI",(Datos!K31-Datos!U31)/Datos!U31,(Datos!K31+Datos!AA31-(Datos!U31+Datos!AI31))/(Datos!U31+Datos!AI31))," - ")</f>
        <v>0.15059408676429953</v>
      </c>
      <c r="E31" s="1092">
        <f>IF(ISNUMBER(
   IF(J_V="SI",(Datos!L31-Datos!V31)/Datos!V31,(Datos!L31+Datos!AB31-(Datos!V31+Datos!AJ31))/(Datos!V31+Datos!AJ31))
     ),IF(J_V="SI",(Datos!L31-Datos!V31)/Datos!V31,(Datos!L31+Datos!AB31-(Datos!V31+Datos!AJ31))/(Datos!V31+Datos!AJ31))," - ")</f>
        <v>9.5688748685594113E-2</v>
      </c>
      <c r="F31" s="1093">
        <f>IF(ISNUMBER((Datos!M31-Datos!W31)/Datos!W31),(Datos!M31-Datos!W31)/Datos!W31," - ")</f>
        <v>-2.668213457076566E-2</v>
      </c>
      <c r="G31" s="1094">
        <f>IF(ISNUMBER((Datos!N31-Datos!X31)/Datos!X31),(Datos!N31-Datos!X31)/Datos!X31," - ")</f>
        <v>0.20177902621722846</v>
      </c>
      <c r="H31" s="1095">
        <f>IF(ISNUMBER((Tasas!B31-Datos!BD31)/Datos!BD31),(Tasas!B31-Datos!BD31)/Datos!BD31," - ")</f>
        <v>1.787461224343921E-3</v>
      </c>
      <c r="I31" s="1096">
        <f>IF(ISNUMBER((Tasas!C31-Datos!BE31)/Datos!BE31),(Tasas!C31-Datos!BE31)/Datos!BE31," - ")</f>
        <v>-4.7719120678874925E-2</v>
      </c>
      <c r="J31" s="1097">
        <f>IF(ISNUMBER((Tasas!D31-Datos!BF31)/Datos!BF31),(Tasas!D31-Datos!BF31)/Datos!BF31," - ")</f>
        <v>-0.42356638683540077</v>
      </c>
      <c r="K31" s="1097">
        <f>IF(ISNUMBER((Tasas!E31-Datos!BG31)/Datos!BG31),(Tasas!E31-Datos!BG31)/Datos!BG31," - ")</f>
        <v>-4.389543288287031E-2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kIt/4t4MjUj6r2EUWNPl80jcV3RdbdhMaLGtvwCrk1w0t4rK04zmy98qu2hW9XK/N6KdkbzFKnIUMXzeHj5oQ==" saltValue="D6NA01GaZwqbPLbY9tHW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LA PALMA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1.0833333333333333</v>
      </c>
      <c r="C10" s="498">
        <f>IF(ISNUMBER(NºAsuntos!I10/NºAsuntos!G10),NºAsuntos!I10/NºAsuntos!G10," - ")</f>
        <v>0.73076923076923073</v>
      </c>
      <c r="D10" s="499">
        <f>IF(ISNUMBER('Resol  Asuntos'!D10/NºAsuntos!G10),'Resol  Asuntos'!D10/NºAsuntos!G10," - ")</f>
        <v>0.38461538461538464</v>
      </c>
      <c r="E10" s="500">
        <f>IF(ISNUMBER((NºAsuntos!C10+NºAsuntos!E10)/NºAsuntos!G10),(NºAsuntos!C10+NºAsuntos!E10)/NºAsuntos!G10," - ")</f>
        <v>1.7307692307692308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0.86896551724137927</v>
      </c>
      <c r="C12" s="498">
        <f>IF(ISNUMBER(NºAsuntos!I12/NºAsuntos!G12),NºAsuntos!I12/NºAsuntos!G12," - ")</f>
        <v>0.88949938949938945</v>
      </c>
      <c r="D12" s="499">
        <f>IF(ISNUMBER('Resol  Asuntos'!D12/NºAsuntos!G12),'Resol  Asuntos'!D12/NºAsuntos!G12," - ")</f>
        <v>0.17277167277167277</v>
      </c>
      <c r="E12" s="500">
        <f>IF(ISNUMBER((NºAsuntos!C12+NºAsuntos!E12)/NºAsuntos!G12),(NºAsuntos!C12+NºAsuntos!E12)/NºAsuntos!G12," - ")</f>
        <v>1.8919413919413919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0.87166055526453645</v>
      </c>
      <c r="C14" s="1156">
        <f>IF(ISNUMBER(NºAsuntos!I14/NºAsuntos!G14),NºAsuntos!I14/NºAsuntos!G14," - ")</f>
        <v>0.88701923076923073</v>
      </c>
      <c r="D14" s="1157">
        <f>IF(ISNUMBER('Resol  Asuntos'!D14/NºAsuntos!G14),'Resol  Asuntos'!D14/NºAsuntos!G14," - ")</f>
        <v>0.17608173076923078</v>
      </c>
      <c r="E14" s="1158">
        <f>IF(ISNUMBER((NºAsuntos!C14+NºAsuntos!E14)/NºAsuntos!G14),(NºAsuntos!C14+NºAsuntos!E14)/NºAsuntos!G14," - ")</f>
        <v>1.8894230769230769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1.0156862745098039</v>
      </c>
      <c r="C17" s="498">
        <f>IF(ISNUMBER(NºAsuntos!I17/NºAsuntos!G17),NºAsuntos!I17/NºAsuntos!G17," - ")</f>
        <v>0.19305019305019305</v>
      </c>
      <c r="D17" s="499">
        <f>IF(ISNUMBER('Resol  Asuntos'!D17/NºAsuntos!G17),'Resol  Asuntos'!D17/NºAsuntos!G17," - ")</f>
        <v>0.11486486486486487</v>
      </c>
      <c r="E17" s="500">
        <f>IF(ISNUMBER((NºAsuntos!C17+NºAsuntos!E17)/NºAsuntos!G17),(NºAsuntos!C17+NºAsuntos!E17)/NºAsuntos!G17," - ")</f>
        <v>1.1838803088803089</v>
      </c>
      <c r="G17" s="523"/>
    </row>
    <row r="18" spans="1:7">
      <c r="A18" s="450" t="str">
        <f>Datos!A18</f>
        <v>Jdos. Violencia contra la mujer</v>
      </c>
      <c r="B18" s="497">
        <f>IF(ISNUMBER(NºAsuntos!G18/NºAsuntos!E18),NºAsuntos!G18/NºAsuntos!E18," - ")</f>
        <v>0.97222222222222221</v>
      </c>
      <c r="C18" s="498">
        <f>IF(ISNUMBER(NºAsuntos!I18/NºAsuntos!G18),NºAsuntos!I18/NºAsuntos!G18," - ")</f>
        <v>0.10476190476190476</v>
      </c>
      <c r="D18" s="499">
        <f>IF(ISNUMBER('Resol  Asuntos'!D18/NºAsuntos!G18),'Resol  Asuntos'!D18/NºAsuntos!G18," - ")</f>
        <v>0.17142857142857143</v>
      </c>
      <c r="E18" s="500">
        <f>IF(ISNUMBER((NºAsuntos!C18+NºAsuntos!E18)/NºAsuntos!G18),(NºAsuntos!C18+NºAsuntos!E18)/NºAsuntos!G18," - ")</f>
        <v>1.1047619047619048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1.1831501831501832</v>
      </c>
      <c r="C21" s="498">
        <f>IF(ISNUMBER(NºAsuntos!I21/NºAsuntos!G21),NºAsuntos!I21/NºAsuntos!G21," - ")</f>
        <v>0.6099071207430341</v>
      </c>
      <c r="D21" s="499">
        <f>IF(ISNUMBER('Resol  Asuntos'!D21/NºAsuntos!G21),'Resol  Asuntos'!D21/NºAsuntos!G21," - ")</f>
        <v>0.89783281733746134</v>
      </c>
      <c r="E21" s="500">
        <f>IF(ISNUMBER((NºAsuntos!C21+NºAsuntos!E21)/NºAsuntos!G21),(NºAsuntos!C21+NºAsuntos!E21)/NºAsuntos!G21," - ")</f>
        <v>1.6068111455108358</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1.0326311441553078</v>
      </c>
      <c r="C23" s="1156">
        <f>IF(ISNUMBER(NºAsuntos!I23/NºAsuntos!G23),NºAsuntos!I23/NºAsuntos!G23," - ")</f>
        <v>0.2432</v>
      </c>
      <c r="D23" s="1159">
        <f>IF(ISNUMBER('Resol  Asuntos'!D23/NºAsuntos!G23),'Resol  Asuntos'!D23/NºAsuntos!G23," - ")</f>
        <v>0.21840000000000001</v>
      </c>
      <c r="E23" s="1158">
        <f>IF(ISNUMBER((NºAsuntos!C23+NºAsuntos!E23)/NºAsuntos!G23),(NºAsuntos!C23+NºAsuntos!E23)/NºAsuntos!G23," - ")</f>
        <v>1.2352000000000001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0.96166281755196303</v>
      </c>
      <c r="C31" s="1099">
        <f>IF(ISNUMBER(NºAsuntos!I31/NºAsuntos!G31),NºAsuntos!I31/NºAsuntos!G31," - ")</f>
        <v>0.50048030739673388</v>
      </c>
      <c r="D31" s="1100">
        <f>IF(ISNUMBER('Resol  Asuntos'!D31/NºAsuntos!G31),'Resol  Asuntos'!D31/NºAsuntos!G31," - ")</f>
        <v>0.20148895292987512</v>
      </c>
      <c r="E31" s="1101">
        <f>IF(ISNUMBER((NºAsuntos!C31+NºAsuntos!E31)/NºAsuntos!G31),(NºAsuntos!C31+NºAsuntos!E31)/NºAsuntos!G31," - ")</f>
        <v>1.4966378482228626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vzhwrJ6J1t7YhcPcLaNVexPD9cirGkjtX00JSIFRz72HLuzXiaK7dTjZ+vKZGNnZDDkZC/bC7DzjS6RakDlEQ==" saltValue="ryoo3Lw6Y3CkiA9iUVhL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LA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0</v>
      </c>
      <c r="Y10" s="374">
        <f t="shared" ref="Y10:Y13" si="0">SUM(W10:X10)</f>
        <v>26</v>
      </c>
      <c r="Z10" s="375" t="str">
        <f>IF(ISNUMBER(Datos!CC10),Datos!CC10," - ")</f>
        <v xml:space="preserve"> - </v>
      </c>
      <c r="AA10" s="372">
        <f>IF(ISNUMBER(Datos!L10),Datos!L10,"-")</f>
        <v>19</v>
      </c>
      <c r="AB10" s="374">
        <f>IF(ISNUMBER(Datos!R10),Datos!R10," - ")</f>
        <v>2</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1.0833333333333333</v>
      </c>
      <c r="AM10" s="284">
        <f>IF(ISNUMBER(((NºAsuntos!I10/NºAsuntos!G10)*11)/factor_trimestre),((NºAsuntos!I10/NºAsuntos!G10)*11)/factor_trimestre," - ")</f>
        <v>8.0384615384615383</v>
      </c>
      <c r="AN10" s="267">
        <f>IF(ISNUMBER('Resol  Asuntos'!D10/NºAsuntos!G10),'Resol  Asuntos'!D10/NºAsuntos!G10," - ")</f>
        <v>0.38461538461538464</v>
      </c>
      <c r="AO10" s="268">
        <f>IF(ISNUMBER((NºAsuntos!C10+NºAsuntos!E10)/NºAsuntos!G10),(NºAsuntos!C10+NºAsuntos!E10)/NºAsuntos!G10," - ")</f>
        <v>1.7307692307692308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320</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404</v>
      </c>
      <c r="Y12" s="374">
        <f t="shared" si="0"/>
        <v>404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283</v>
      </c>
      <c r="AJ12" s="243" t="str">
        <f>IF(ISNUMBER(Datos!BW12),Datos!BW12," - ")</f>
        <v xml:space="preserve"> - </v>
      </c>
      <c r="AK12" s="242" t="str">
        <f>IF(ISNUMBER(Datos!BX12),Datos!BX12," - ")</f>
        <v xml:space="preserve"> - </v>
      </c>
      <c r="AL12" s="266">
        <f>IF(ISNUMBER(NºAsuntos!G12/NºAsuntos!E12),NºAsuntos!G12/NºAsuntos!E12," - ")</f>
        <v>0.86896551724137927</v>
      </c>
      <c r="AM12" s="284">
        <f>IF(ISNUMBER(((NºAsuntos!I12/NºAsuntos!G12)*11)/factor_trimestre),((NºAsuntos!I12/NºAsuntos!G12)*11)/factor_trimestre," - ")</f>
        <v>9.7844932844932835</v>
      </c>
      <c r="AN12" s="267">
        <f>IF(ISNUMBER('Resol  Asuntos'!D12/NºAsuntos!G12),'Resol  Asuntos'!D12/NºAsuntos!G12," - ")</f>
        <v>0.17277167277167277</v>
      </c>
      <c r="AO12" s="268">
        <f>IF(ISNUMBER((NºAsuntos!C12+NºAsuntos!E12)/NºAsuntos!G12),(NºAsuntos!C12+NºAsuntos!E12)/NºAsuntos!G12," - ")</f>
        <v>1.8919413919413919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208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404</v>
      </c>
      <c r="Y14" s="1165">
        <f t="shared" si="6"/>
        <v>430</v>
      </c>
      <c r="Z14" s="1165">
        <f t="shared" si="6"/>
        <v>0</v>
      </c>
      <c r="AA14" s="1165">
        <f t="shared" si="6"/>
        <v>19</v>
      </c>
      <c r="AB14" s="1165">
        <f t="shared" si="6"/>
        <v>1013</v>
      </c>
      <c r="AC14" s="1165">
        <f t="shared" si="6"/>
        <v>21</v>
      </c>
      <c r="AD14" s="1165">
        <f t="shared" si="6"/>
        <v>0</v>
      </c>
      <c r="AE14" s="1169">
        <f t="shared" si="6"/>
        <v>0</v>
      </c>
      <c r="AF14" s="1162">
        <f t="shared" si="6"/>
        <v>0</v>
      </c>
      <c r="AG14" s="1170">
        <f t="shared" si="6"/>
        <v>0</v>
      </c>
      <c r="AH14" s="1167">
        <f t="shared" si="6"/>
        <v>0</v>
      </c>
      <c r="AI14" s="1162">
        <f t="shared" si="6"/>
        <v>293</v>
      </c>
      <c r="AJ14" s="1164">
        <f t="shared" si="6"/>
        <v>0</v>
      </c>
      <c r="AK14" s="1167">
        <f>SUBTOTAL(9,AK9:AK13)</f>
        <v>0</v>
      </c>
      <c r="AL14" s="1171">
        <f>IF(ISNUMBER(NºAsuntos!G14/NºAsuntos!E14),NºAsuntos!G14/NºAsuntos!E14," - ")</f>
        <v>0.87166055526453645</v>
      </c>
      <c r="AM14" s="1171">
        <f>IF(ISNUMBER(((NºAsuntos!I14/NºAsuntos!G14)*11)/factor_trimestre),((NºAsuntos!I14/NºAsuntos!G14)*11)/factor_trimestre," - ")</f>
        <v>9.7572115384615383</v>
      </c>
      <c r="AN14" s="1172">
        <f>IF(ISNUMBER('Resol  Asuntos'!D14/NºAsuntos!G14),'Resol  Asuntos'!D14/NºAsuntos!G14," - ")</f>
        <v>0.17608173076923078</v>
      </c>
      <c r="AO14" s="1173">
        <f>IF(ISNUMBER((NºAsuntos!C14+NºAsuntos!E14)/NºAsuntos!G14),(NºAsuntos!C14+NºAsuntos!E14)/NºAsuntos!G14," - ")</f>
        <v>1.8894230769230769</v>
      </c>
      <c r="AP14" s="1174" t="str">
        <f t="shared" si="2"/>
        <v xml:space="preserve"> - </v>
      </c>
      <c r="AQ14" s="1174">
        <f>IF(ISNUMBER((H14-W14+K14)/(F14)),(H14-W14+K14)/(F14)," - ")</f>
        <v>-1.2380952380952381</v>
      </c>
      <c r="AR14" s="1175">
        <f>IF(ISNUMBER((Datos!P14-Datos!Q14)/(Datos!R14-Datos!P14+Datos!Q14)),(Datos!P14-Datos!Q14)/(Datos!R14-Datos!P14+Datos!Q14)," - ")</f>
        <v>-0.16211745244003309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510</v>
      </c>
      <c r="C17" s="173" t="str">
        <f>Datos!A17</f>
        <v xml:space="preserve">Jdos. 1ª Instª. e Instr.                        </v>
      </c>
      <c r="D17" s="173"/>
      <c r="E17" s="1402">
        <f>IF(ISNUMBER(Datos!AQ17),Datos!AQ17," - ")</f>
        <v>2</v>
      </c>
      <c r="F17" s="239">
        <f>IF(ISNUMBER(AA17+W17-Datos!J17-K17),AA17+W17-Datos!J17-K17," - ")</f>
        <v>432</v>
      </c>
      <c r="G17" s="373">
        <f>IF(ISNUMBER(IF(D_I="SI",Datos!I17,Datos!I17+Datos!AC17)),IF(D_I="SI",Datos!I17,Datos!I17+Datos!AC17)," - ")</f>
        <v>413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2072</v>
      </c>
      <c r="X17" s="240">
        <f>IF(ISNUMBER(Datos!Q17),Datos!Q17," - ")</f>
        <v>85</v>
      </c>
      <c r="Y17" s="374">
        <f t="shared" ref="Y17:Y22" si="9">SUM(W17:X17)</f>
        <v>2157</v>
      </c>
      <c r="Z17" s="375" t="str">
        <f>IF(ISNUMBER(Datos!CC17),Datos!CC17," - ")</f>
        <v xml:space="preserve"> - </v>
      </c>
      <c r="AA17" s="372">
        <f>IF(ISNUMBER(IF(D_I="SI",Datos!L17,Datos!L17+Datos!AF17)),IF(D_I="SI",Datos!L17,Datos!L17+Datos!AF17)," - ")</f>
        <v>400</v>
      </c>
      <c r="AB17" s="374">
        <f>IF(ISNUMBER(Datos!R17),Datos!R17," - ")</f>
        <v>78</v>
      </c>
      <c r="AC17" s="374">
        <f t="shared" si="8"/>
        <v>478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238</v>
      </c>
      <c r="AJ17" s="245" t="str">
        <f>IF(ISNUMBER(Datos!BW17),Datos!BW17," - ")</f>
        <v xml:space="preserve"> - </v>
      </c>
      <c r="AK17" s="246" t="str">
        <f>IF(ISNUMBER(Datos!BX17),Datos!BX17," - ")</f>
        <v xml:space="preserve"> - </v>
      </c>
      <c r="AL17" s="266">
        <f>IF(ISNUMBER(NºAsuntos!G17/NºAsuntos!E17),NºAsuntos!G17/NºAsuntos!E17," - ")</f>
        <v>1.0156862745098039</v>
      </c>
      <c r="AM17" s="284">
        <f>IF(ISNUMBER(((NºAsuntos!I17/NºAsuntos!G17)*11)/factor_trimestre),((NºAsuntos!I17/NºAsuntos!G17)*11)/factor_trimestre," - ")</f>
        <v>2.1235521235521237</v>
      </c>
      <c r="AN17" s="267">
        <f>IF(ISNUMBER('Resol  Asuntos'!D17/NºAsuntos!G17),'Resol  Asuntos'!D17/NºAsuntos!G17," - ")</f>
        <v>0.11486486486486487</v>
      </c>
      <c r="AO17" s="268">
        <f>IF(ISNUMBER((NºAsuntos!C17+NºAsuntos!E17)/NºAsuntos!G17),(NºAsuntos!C17+NºAsuntos!E17)/NºAsuntos!G17," - ")</f>
        <v>1.1838803088803089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v>
      </c>
      <c r="X18" s="240">
        <f>IF(ISNUMBER(Datos!Q18),Datos!Q18," - ")</f>
        <v>7</v>
      </c>
      <c r="Y18" s="374">
        <f t="shared" si="9"/>
        <v>112</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0.97222222222222221</v>
      </c>
      <c r="AM18" s="284">
        <f>IF(ISNUMBER(((NºAsuntos!I18/NºAsuntos!G18)*11)/factor_trimestre),((NºAsuntos!I18/NºAsuntos!G18)*11)/factor_trimestre," - ")</f>
        <v>1.1523809523809525</v>
      </c>
      <c r="AN18" s="267">
        <f>IF(ISNUMBER('Resol  Asuntos'!D18/NºAsuntos!G18),'Resol  Asuntos'!D18/NºAsuntos!G18," - ")</f>
        <v>0.17142857142857143</v>
      </c>
      <c r="AO18" s="268">
        <f>IF(ISNUMBER((NºAsuntos!C18+NºAsuntos!E18)/NºAsuntos!G18),(NºAsuntos!C18+NºAsuntos!E18)/NºAsuntos!G18," - ")</f>
        <v>1.1047619047619048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1</v>
      </c>
      <c r="F21" s="239">
        <f>IF(ISNUMBER(Datos!L21+Datos!K21-Datos!J21-K21),Datos!L21+Datos!K21-Datos!J21-K21," - ")</f>
        <v>247</v>
      </c>
      <c r="G21" s="373">
        <f>IF(ISNUMBER(Datos!I21),Datos!I21," - ")</f>
        <v>246</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480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323</v>
      </c>
      <c r="X21" s="240">
        <f>IF(ISNUMBER(Datos!Q21),Datos!Q21," - ")</f>
        <v>1136</v>
      </c>
      <c r="Y21" s="374">
        <f t="shared" si="9"/>
        <v>1459</v>
      </c>
      <c r="Z21" s="375" t="str">
        <f>IF(ISNUMBER(Datos!CC21),Datos!CC21," - ")</f>
        <v xml:space="preserve"> - </v>
      </c>
      <c r="AA21" s="372">
        <f>IF(ISNUMBER(Datos!L21),Datos!L21,"-")</f>
        <v>197</v>
      </c>
      <c r="AB21" s="374">
        <f>IF(ISNUMBER(Datos!R21),Datos!R21," - ")</f>
        <v>566</v>
      </c>
      <c r="AC21" s="374">
        <f t="shared" si="8"/>
        <v>763</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290</v>
      </c>
      <c r="AJ21" s="245" t="str">
        <f>IF(ISNUMBER(Datos!BW21),Datos!BW21," - ")</f>
        <v xml:space="preserve"> - </v>
      </c>
      <c r="AK21" s="246" t="str">
        <f>IF(ISNUMBER(Datos!BX21),Datos!BX21," - ")</f>
        <v xml:space="preserve"> - </v>
      </c>
      <c r="AL21" s="266">
        <f>IF(ISNUMBER(NºAsuntos!G21/NºAsuntos!E21),NºAsuntos!G21/NºAsuntos!E21," - ")</f>
        <v>1.1831501831501832</v>
      </c>
      <c r="AM21" s="284">
        <f>IF(ISNUMBER(((NºAsuntos!I21/NºAsuntos!G21)*11)/factor_trimestre),((NºAsuntos!I21/NºAsuntos!G21)*11)/factor_trimestre," - ")</f>
        <v>6.7089783281733748</v>
      </c>
      <c r="AN21" s="267">
        <f>IF(ISNUMBER('Resol  Asuntos'!D21/NºAsuntos!G21),'Resol  Asuntos'!D21/NºAsuntos!G21," - ")</f>
        <v>0.89783281733746134</v>
      </c>
      <c r="AO21" s="268">
        <f>IF(ISNUMBER((NºAsuntos!C21+NºAsuntos!E21)/NºAsuntos!G21),(NºAsuntos!C21+NºAsuntos!E21)/NºAsuntos!G21," - ")</f>
        <v>1.6068111455108358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679</v>
      </c>
      <c r="G23" s="1163">
        <f>SUBTOTAL(9,G16:G22)</f>
        <v>667</v>
      </c>
      <c r="H23" s="1162">
        <f t="shared" ref="H23:O23" si="13">SUBTOTAL(9,H15:H22)</f>
        <v>0</v>
      </c>
      <c r="I23" s="1164">
        <f t="shared" si="13"/>
        <v>0</v>
      </c>
      <c r="J23" s="1164">
        <f t="shared" si="13"/>
        <v>0</v>
      </c>
      <c r="K23" s="1164">
        <f t="shared" si="13"/>
        <v>0</v>
      </c>
      <c r="L23" s="1164">
        <f t="shared" si="13"/>
        <v>553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2500</v>
      </c>
      <c r="X23" s="1164">
        <f t="shared" si="14"/>
        <v>1228</v>
      </c>
      <c r="Y23" s="1165">
        <f t="shared" si="14"/>
        <v>3728</v>
      </c>
      <c r="Z23" s="1165">
        <f t="shared" si="14"/>
        <v>0</v>
      </c>
      <c r="AA23" s="1165">
        <f t="shared" si="14"/>
        <v>608</v>
      </c>
      <c r="AB23" s="1165">
        <f t="shared" si="14"/>
        <v>644</v>
      </c>
      <c r="AC23" s="1165">
        <f t="shared" si="14"/>
        <v>1252</v>
      </c>
      <c r="AD23" s="1165">
        <f t="shared" si="14"/>
        <v>0</v>
      </c>
      <c r="AE23" s="1169">
        <f t="shared" si="14"/>
        <v>0</v>
      </c>
      <c r="AF23" s="1162">
        <f t="shared" si="14"/>
        <v>0</v>
      </c>
      <c r="AG23" s="1170">
        <f t="shared" si="14"/>
        <v>0</v>
      </c>
      <c r="AH23" s="1167">
        <f t="shared" si="14"/>
        <v>0</v>
      </c>
      <c r="AI23" s="1162">
        <f t="shared" si="14"/>
        <v>546</v>
      </c>
      <c r="AJ23" s="1164">
        <f t="shared" si="14"/>
        <v>0</v>
      </c>
      <c r="AK23" s="1167">
        <f t="shared" si="14"/>
        <v>0</v>
      </c>
      <c r="AL23" s="1171">
        <f>IF(ISNUMBER(NºAsuntos!G23/NºAsuntos!E23),NºAsuntos!G23/NºAsuntos!E23," - ")</f>
        <v>1.0326311441553078</v>
      </c>
      <c r="AM23" s="1171">
        <f>IF(ISNUMBER(((NºAsuntos!I23/NºAsuntos!G23)*11)/factor_trimestre),((NºAsuntos!I23/NºAsuntos!G23)*11)/factor_trimestre," - ")</f>
        <v>2.6751999999999998</v>
      </c>
      <c r="AN23" s="1172">
        <f>IF(ISNUMBER('Resol  Asuntos'!D23/NºAsuntos!G23),'Resol  Asuntos'!D23/NºAsuntos!G23," - ")</f>
        <v>0.21840000000000001</v>
      </c>
      <c r="AO23" s="1173">
        <f>IF(ISNUMBER((NºAsuntos!C23+NºAsuntos!E23)/NºAsuntos!G23),(NºAsuntos!C23+NºAsuntos!E23)/NºAsuntos!G23," - ")</f>
        <v>1.2352000000000001</v>
      </c>
      <c r="AP23" s="1174" t="str">
        <f t="shared" si="2"/>
        <v xml:space="preserve"> - </v>
      </c>
      <c r="AQ23" s="1174">
        <f>IF(ISNUMBER((H23-W23+K23)/(F23)),(H23-W23+K23)/(F23)," - ")</f>
        <v>-3.6818851251840941</v>
      </c>
      <c r="AR23" s="1175">
        <f>IF(ISNUMBER((Datos!P23-Datos!Q23)/(Datos!R23-Datos!P23+Datos!Q23)),(Datos!P23-Datos!Q23)/(Datos!R23-Datos!P23+Datos!Q23)," - ")</f>
        <v>-0.51175132676269897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v>
      </c>
      <c r="F31" s="1117">
        <f t="shared" si="20"/>
        <v>700</v>
      </c>
      <c r="G31" s="1118">
        <f t="shared" si="20"/>
        <v>688</v>
      </c>
      <c r="H31" s="1117">
        <f t="shared" si="20"/>
        <v>0</v>
      </c>
      <c r="I31" s="1119">
        <f t="shared" si="20"/>
        <v>0</v>
      </c>
      <c r="J31" s="1119">
        <f t="shared" si="20"/>
        <v>0</v>
      </c>
      <c r="K31" s="1180">
        <f t="shared" si="20"/>
        <v>0</v>
      </c>
      <c r="L31" s="1119">
        <f t="shared" si="20"/>
        <v>761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2526</v>
      </c>
      <c r="X31" s="1118">
        <f t="shared" si="21"/>
        <v>1632</v>
      </c>
      <c r="Y31" s="1125">
        <f t="shared" si="21"/>
        <v>4158</v>
      </c>
      <c r="Z31" s="1125">
        <f t="shared" si="21"/>
        <v>0</v>
      </c>
      <c r="AA31" s="1125">
        <f t="shared" si="21"/>
        <v>627</v>
      </c>
      <c r="AB31" s="1125">
        <f t="shared" si="21"/>
        <v>1657</v>
      </c>
      <c r="AC31" s="1125">
        <f t="shared" si="21"/>
        <v>1273</v>
      </c>
      <c r="AD31" s="1125">
        <f t="shared" si="21"/>
        <v>0</v>
      </c>
      <c r="AE31" s="1127">
        <f t="shared" si="21"/>
        <v>0</v>
      </c>
      <c r="AF31" s="1128">
        <f t="shared" si="21"/>
        <v>0</v>
      </c>
      <c r="AG31" s="1129">
        <f t="shared" si="21"/>
        <v>0</v>
      </c>
      <c r="AH31" s="1127">
        <f t="shared" si="21"/>
        <v>0</v>
      </c>
      <c r="AI31" s="1117">
        <f t="shared" si="21"/>
        <v>839</v>
      </c>
      <c r="AJ31" s="1117">
        <f t="shared" si="21"/>
        <v>0</v>
      </c>
      <c r="AK31" s="1127">
        <f t="shared" si="21"/>
        <v>0</v>
      </c>
      <c r="AL31" s="1183">
        <f>IF(ISNUMBER(NºAsuntos!G31/NºAsuntos!E31),NºAsuntos!G31/NºAsuntos!E31," - ")</f>
        <v>0.96166281755196303</v>
      </c>
      <c r="AM31" s="1184">
        <f>IF(ISNUMBER(((NºAsuntos!I31/NºAsuntos!G31)*11)/factor_trimestre),((NºAsuntos!I31/NºAsuntos!G31)*11)/factor_trimestre," - ")</f>
        <v>5.5052833813640731</v>
      </c>
      <c r="AN31" s="1184">
        <f>IF(ISNUMBER('Resol  Asuntos'!D31/NºAsuntos!G31),'Resol  Asuntos'!D31/NºAsuntos!G31," - ")</f>
        <v>0.20148895292987512</v>
      </c>
      <c r="AO31" s="1185">
        <f>IF(ISNUMBER((NºAsuntos!C31+NºAsuntos!E31)/NºAsuntos!G31),(NºAsuntos!C31+NºAsuntos!E31)/NºAsuntos!G31," - ")</f>
        <v>1.4966378482228626</v>
      </c>
      <c r="AP31" s="1186" t="str">
        <f t="shared" si="2"/>
        <v xml:space="preserve"> - </v>
      </c>
      <c r="AQ31" s="1187">
        <f>IF(OR(ISNUMBER(FIND("01",Criterios!A8,1)),ISNUMBER(FIND("02",Criterios!A8,1)),ISNUMBER(FIND("03",Criterios!A8,1)),ISNUMBER(FIND("04",Criterios!A8,1))),(I31-W31+K31)/(F31-K31),(H31-W31+K31)/(F31-K31))</f>
        <v>-3.6085714285714285</v>
      </c>
      <c r="AR31" s="1188">
        <f>IF(ISNUMBER((Datos!P31-Datos!Q31)/(Datos!R31-Datos!P31+Datos!Q31)),(Datos!P31-Datos!Q31)/(Datos!R31-Datos!P31+Datos!Q31)," - ")</f>
        <v>-0.34454113924050633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0.96427411113412598</v>
      </c>
      <c r="F33" s="276">
        <f>IF(ISNUMBER(STDEV(F8:F30)),STDEV(F8:F30),"-")</f>
        <v>267.56805987760697</v>
      </c>
      <c r="G33" s="277">
        <f>IF(ISNUMBER(STDEV(G8:G30)),STDEV(G8:G30),"-")</f>
        <v>250.78391381540288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1032.9950905705491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191.17015399318424</v>
      </c>
      <c r="AJ33" s="276">
        <f t="shared" si="25"/>
        <v>0</v>
      </c>
      <c r="AK33" s="278">
        <f t="shared" si="25"/>
        <v>0</v>
      </c>
      <c r="AL33" s="273">
        <f t="shared" si="25"/>
        <v>0.11262232392548306</v>
      </c>
      <c r="AM33" s="274">
        <f t="shared" si="25"/>
        <v>3.7021431331060803</v>
      </c>
      <c r="AN33" s="274">
        <f t="shared" si="25"/>
        <v>0.27488959121261508</v>
      </c>
      <c r="AO33" s="275">
        <f t="shared" si="25"/>
        <v>0.33992222278313711</v>
      </c>
      <c r="AP33" s="317" t="str">
        <f t="shared" si="25"/>
        <v>-</v>
      </c>
      <c r="AQ33" s="318">
        <f t="shared" si="25"/>
        <v>1.7280204009556368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ldbdoP9+7/ILaz2+dsscohg+FfJMZVPK1BaxZYdqs8shV99Ai+Nxf+UY82mkrrNbHQCQZEMb6HMwVp/ms+poQ==" saltValue="/75XS9OEVZwgVreIEiNV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LA PALMA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0.16666666666666666</v>
      </c>
      <c r="E10" s="393">
        <f>IF(ISNUMBER((Datos!J10-Datos!T10)/Datos!T10),(Datos!J10-Datos!T10)/Datos!T10," - ")</f>
        <v>-0.14285714285714285</v>
      </c>
      <c r="F10" s="393">
        <f>IF(ISNUMBER((Datos!K10-Datos!U10)/Datos!U10),(Datos!K10-Datos!U10)/Datos!U10," - ")</f>
        <v>0.04</v>
      </c>
      <c r="G10" s="394">
        <f>IF(ISNUMBER((Datos!L10-Datos!V10)/Datos!V10),(Datos!L10-Datos!V10)/Datos!V10," - ")</f>
        <v>-9.5238095238095233E-2</v>
      </c>
      <c r="H10" s="244">
        <f>IF(ISNUMBER((Datos!M10-Datos!W10)/Datos!W10),(Datos!M10-Datos!W10)/Datos!W10," - ")</f>
        <v>-0.16666666666666666</v>
      </c>
      <c r="I10" s="395">
        <f>IF(ISNUMBER((Tasas!C10-Datos!BE10)/Datos!BE10),(Tasas!C10-Datos!BE10)/Datos!BE10," - ")</f>
        <v>-0.13003663003663005</v>
      </c>
      <c r="J10" s="394">
        <f>IF(ISNUMBER((Tasas!D10-Datos!BF10)/Datos!BF10),(Tasas!D10-Datos!BF10)/Datos!BF10," - ")</f>
        <v>-0.19871794871794865</v>
      </c>
      <c r="K10" s="396">
        <f>IF(ISNUMBER((Tasas!E10-Datos!BG10)/Datos!BG10),(Tasas!E10-Datos!BG10)/Datos!BG10," - ")</f>
        <v>-5.936454849498328E-2</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5.204460966542751E-2</v>
      </c>
      <c r="I12" s="395">
        <f>IF(ISNUMBER((Tasas!C12-Datos!BE12)/Datos!BE12),(Tasas!C12-Datos!BE12)/Datos!BE12," - ")</f>
        <v>-5.1151804446697452E-2</v>
      </c>
      <c r="J12" s="394">
        <f>IF(ISNUMBER((Tasas!D12-Datos!BF12)/Datos!BF12),(Tasas!D12-Datos!BF12)/Datos!BF12," - ")</f>
        <v>-0.66705458892958891</v>
      </c>
      <c r="K12" s="396">
        <f>IF(ISNUMBER((Tasas!E12-Datos!BG12)/Datos!BG12),(Tasas!E12-Datos!BG12)/Datos!BG12," - ")</f>
        <v>-7.9615288292974304E-2</v>
      </c>
      <c r="M12" t="e">
        <f>IF(Monitorios="SI",Datos!CE12,0)</f>
        <v>#REF!</v>
      </c>
      <c r="N12" t="e">
        <f>IF(Monitorios="SI",Datos!CF12,0)</f>
        <v>#REF!</v>
      </c>
      <c r="O12" t="e">
        <f>IF(Monitorios="SI",Datos!CG12,0)</f>
        <v>#REF!</v>
      </c>
      <c r="P12" t="e">
        <f>IF(Monitorios="SI",Datos!CH12,0)</f>
        <v>#REF!</v>
      </c>
      <c r="Q12">
        <f>IF(J_V="SI",0,Datos!AG12)</f>
        <v>100</v>
      </c>
      <c r="R12">
        <f>IF(J_V="SI",0,Datos!AH12)</f>
        <v>202</v>
      </c>
      <c r="S12">
        <f>IF(J_V="SI",0,Datos!AI12)</f>
        <v>189</v>
      </c>
      <c r="T12">
        <f>IF(J_V="SI",0,Datos!AJ12)</f>
        <v>113</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4.2704626334519574E-2</v>
      </c>
      <c r="I14" s="402">
        <f>IF(ISNUMBER((Tasas!C14-Datos!BE14)/Datos!BE14),(Tasas!C14-Datos!BE14)/Datos!BE14," - ")</f>
        <v>-5.1930862659607592E-2</v>
      </c>
      <c r="J14" s="400">
        <f>IF(ISNUMBER((Tasas!D14-Datos!BF14)/Datos!BF14),(Tasas!D14-Datos!BF14)/Datos!BF14," - ")</f>
        <v>-0.66019315114709853</v>
      </c>
      <c r="K14" s="403">
        <f>IF(ISNUMBER((Tasas!E14-Datos!BG14)/Datos!BG14),(Tasas!E14-Datos!BG14)/Datos!BG14," - ")</f>
        <v>-7.9010907851380652E-2</v>
      </c>
      <c r="M14" t="e">
        <f>IF(Monitorios="SI",Datos!CE14,0)</f>
        <v>#REF!</v>
      </c>
      <c r="N14" t="e">
        <f>IF(Monitorios="SI",Datos!CF14,0)</f>
        <v>#REF!</v>
      </c>
      <c r="O14" t="e">
        <f>IF(Monitorios="SI",Datos!CG14,0)</f>
        <v>#REF!</v>
      </c>
      <c r="P14" t="e">
        <f>IF(Monitorios="SI",Datos!CH14,0)</f>
        <v>#REF!</v>
      </c>
      <c r="Q14">
        <f>IF(J_V="SI",0,Datos!AG14)</f>
        <v>100</v>
      </c>
      <c r="R14">
        <f>IF(J_V="SI",0,Datos!AH14)</f>
        <v>202</v>
      </c>
      <c r="S14">
        <f>IF(J_V="SI",0,Datos!AI14)</f>
        <v>189</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-0.12684989429175475</v>
      </c>
      <c r="E17" s="393">
        <f>IF(ISNUMBER(
   IF(D_I="SI",(Datos!J17-Datos!T17)/Datos!T17,(Datos!J17+Datos!AD17-(Datos!T17+Datos!AL17))/(Datos!T17+Datos!AL17))
     ),IF(D_I="SI",(Datos!J17-Datos!T17)/Datos!T17,(Datos!J17+Datos!AD17-(Datos!T17+Datos!AL17))/(Datos!T17+Datos!AL17))," - ")</f>
        <v>0.11536358665937671</v>
      </c>
      <c r="F17" s="393">
        <f>IF(ISNUMBER(
   IF(D_I="SI",(Datos!K17-Datos!U17)/Datos!U17,(Datos!K17+Datos!AE17-(Datos!U17+Datos!AM17))/(Datos!U17+Datos!AM17))
     ),IF(D_I="SI",(Datos!K17-Datos!U17)/Datos!U17,(Datos!K17+Datos!AE17-(Datos!U17+Datos!AM17))/(Datos!U17+Datos!AM17))," - ")</f>
        <v>9.1675447839831406E-2</v>
      </c>
      <c r="G17" s="394">
        <f>IF(ISNUMBER(
   IF(D_I="SI",(Datos!L17-Datos!V17)/Datos!V17,(Datos!L17+Datos!AF17-(Datos!V17+Datos!AN17))/(Datos!V17+Datos!AN17))
     ),IF(D_I="SI",(Datos!L17-Datos!V17)/Datos!V17,(Datos!L17+Datos!AF17-(Datos!V17+Datos!AN17))/(Datos!V17+Datos!AN17))," - ")</f>
        <v>-3.1476997578692496E-2</v>
      </c>
      <c r="H17" s="244">
        <f>IF(ISNUMBER((Datos!M17-Datos!W17)/Datos!W17),(Datos!M17-Datos!W17)/Datos!W17," - ")</f>
        <v>-0.11524163568773234</v>
      </c>
      <c r="I17" s="395">
        <f>IF(ISNUMBER((Tasas!C17-Datos!BE17)/Datos!BE17),(Tasas!C17-Datos!BE17)/Datos!BE17," - ")</f>
        <v>-0.11281049295577142</v>
      </c>
      <c r="J17" s="394">
        <f>IF(ISNUMBER((Tasas!D17-Datos!BF17)/Datos!BF17),(Tasas!D17-Datos!BF17)/Datos!BF17," - ")</f>
        <v>-0.18954084195719872</v>
      </c>
      <c r="K17" s="396">
        <f>IF(ISNUMBER((Tasas!E17-Datos!BG17)/Datos!BG17),(Tasas!E17-Datos!BG17)/Datos!BG17," - ")</f>
        <v>-2.3890171044819188E-2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2.8571428571428571E-2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0.375</v>
      </c>
      <c r="H18" s="244">
        <f>IF(ISNUMBER((Datos!M18-Datos!W18)/Datos!W18),(Datos!M18-Datos!W18)/Datos!W18," - ")</f>
        <v>-0.45454545454545453</v>
      </c>
      <c r="I18" s="395">
        <f>IF(ISNUMBER((Tasas!C18-Datos!BE18)/Datos!BE18),(Tasas!C18-Datos!BE18)/Datos!BE18," - ")</f>
        <v>0.37499999999999989</v>
      </c>
      <c r="J18" s="394">
        <f>IF(ISNUMBER((Tasas!D18-Datos!BF18)/Datos!BF18),(Tasas!D18-Datos!BF18)/Datos!BF18," - ")</f>
        <v>-0.45454545454545453</v>
      </c>
      <c r="K18" s="396">
        <f>IF(ISNUMBER((Tasas!E18-Datos!BG18)/Datos!BG18),(Tasas!E18-Datos!BG18)/Datos!BG18," - ")</f>
        <v>2.6548672566371796E-2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-8.5501858736059477E-2</v>
      </c>
      <c r="E21" s="393">
        <f>IF(ISNUMBER((Datos!J21-Datos!T21)/Datos!T21),(Datos!J21-Datos!T21)/Datos!T21," - ")</f>
        <v>0</v>
      </c>
      <c r="F21" s="393">
        <f>IF(ISNUMBER((Datos!K21-Datos!U21)/Datos!U21),(Datos!K21-Datos!U21)/Datos!U21," - ")</f>
        <v>9.1216216216216214E-2</v>
      </c>
      <c r="G21" s="394">
        <f>IF(ISNUMBER((Datos!L21-Datos!V21)/Datos!V21),(Datos!L21-Datos!V21)/Datos!V21," - ")</f>
        <v>-0.1991869918699187</v>
      </c>
      <c r="H21" s="244">
        <f>IF(ISNUMBER((Datos!M21-Datos!W21)/Datos!W21),(Datos!M21-Datos!W21)/Datos!W21," - ")</f>
        <v>3.9426523297491037E-2</v>
      </c>
      <c r="I21" s="395">
        <f>IF(ISNUMBER((Tasas!C21-Datos!BE21)/Datos!BE21),(Tasas!C21-Datos!BE21)/Datos!BE21," - ")</f>
        <v>-0.26612801731732477</v>
      </c>
      <c r="J21" s="394">
        <f>IF(ISNUMBER((Tasas!D21-Datos!BF21)/Datos!BF21),(Tasas!D21-Datos!BF21)/Datos!BF21," - ")</f>
        <v>-4.7460523541618053E-2</v>
      </c>
      <c r="K21" s="396">
        <f>IF(ISNUMBER((Tasas!E21-Datos!BG21)/Datos!BG21),(Tasas!E21-Datos!BG21)/Datos!BG21," - ")</f>
        <v>-0.12247952200884246</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-0.11066666666666666</v>
      </c>
      <c r="E23" s="399">
        <f>IF(ISNUMBER(
   IF(D_I="SI",(Datos!J23-Datos!T23)/Datos!T23,(Datos!J23+Datos!AD23-(Datos!T23+Datos!AL23))/(Datos!T23+Datos!AL23))
     ),IF(D_I="SI",(Datos!J23-Datos!T23)/Datos!T23,(Datos!J23+Datos!AD23-(Datos!T23+Datos!AL23))/(Datos!T23+Datos!AL23))," - ")</f>
        <v>9.696420480289987E-2</v>
      </c>
      <c r="F23" s="399">
        <f>IF(ISNUMBER(
   IF(D_I="SI",(Datos!K23-Datos!U23)/Datos!U23,(Datos!K23+Datos!AE23-(Datos!U23+Datos!AM23))/(Datos!U23+Datos!AM23))
     ),IF(D_I="SI",(Datos!K23-Datos!U23)/Datos!U23,(Datos!K23+Datos!AE23-(Datos!U23+Datos!AM23))/(Datos!U23+Datos!AM23))," - ")</f>
        <v>8.7429317094388864E-2</v>
      </c>
      <c r="G23" s="400">
        <f>IF(ISNUMBER(
   IF(D_I="SI",(Datos!L23-Datos!V23)/Datos!V23,(Datos!L23+Datos!AF23-(Datos!V23+Datos!AN23))/(Datos!V23+Datos!AN23))
     ),IF(D_I="SI",(Datos!L23-Datos!V23)/Datos!V23,(Datos!L23+Datos!AF23-(Datos!V23+Datos!AN23))/(Datos!V23+Datos!AN23))," - ")</f>
        <v>-8.8455772113943024E-2</v>
      </c>
      <c r="H23" s="401">
        <f>IF(ISNUMBER((Datos!M23-Datos!W23)/Datos!W23),(Datos!M23-Datos!W23)/Datos!W23," - ")</f>
        <v>-6.0240963855421686E-2</v>
      </c>
      <c r="I23" s="402">
        <f>IF(ISNUMBER((Tasas!C23-Datos!BE23)/Datos!BE23),(Tasas!C23-Datos!BE23)/Datos!BE23," - ")</f>
        <v>-0.161743928035982</v>
      </c>
      <c r="J23" s="400">
        <f>IF(ISNUMBER((Tasas!D23-Datos!BF23)/Datos!BF23),(Tasas!D23-Datos!BF23)/Datos!BF23," - ")</f>
        <v>-0.13579759036144565</v>
      </c>
      <c r="K23" s="403">
        <f>IF(ISNUMBER((Tasas!E23-Datos!BG23)/Datos!BG23),(Tasas!E23-Datos!BG23)/Datos!BG23," - ")</f>
        <v>-3.9660196144741262E-2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3.6939313984168864E-3</v>
      </c>
      <c r="E31" s="409">
        <f>IF(ISNUMBER(
   IF(J_V="SI",(Datos!J31-Datos!T31)/Datos!T31,(Datos!J31+Datos!Z31-(Datos!T31+Datos!AH31))/(Datos!T31+Datos!AH31))
     ),IF(J_V="SI",(Datos!J31-Datos!T31)/Datos!T31,(Datos!J31+Datos!Z31-(Datos!T31+Datos!AH31))/(Datos!T31+Datos!AH31))," - ")</f>
        <v>0.14854111405835543</v>
      </c>
      <c r="F31" s="409">
        <f>IF(ISNUMBER(
   IF(J_V="SI",(Datos!K31-Datos!U31)/Datos!U31,(Datos!K31+Datos!AA31-(Datos!U31+Datos!AI31))/(Datos!U31+Datos!AI31))
     ),IF(J_V="SI",(Datos!K31-Datos!U31)/Datos!U31,(Datos!K31+Datos!AA31-(Datos!U31+Datos!AI31))/(Datos!U31+Datos!AI31))," - ")</f>
        <v>0.15059408676429953</v>
      </c>
      <c r="G31" s="410">
        <f>IF(ISNUMBER(
   IF(J_V="SI",(Datos!L31-Datos!V31)/Datos!V31,(Datos!L31+Datos!AB31-(Datos!V31+Datos!AJ31))/(Datos!V31+Datos!AJ31))
     ),IF(J_V="SI",(Datos!L31-Datos!V31)/Datos!V31,(Datos!L31+Datos!AB31-(Datos!V31+Datos!AJ31))/(Datos!V31+Datos!AJ31))," - ")</f>
        <v>9.5688748685594113E-2</v>
      </c>
      <c r="H31" s="411">
        <f>IF(ISNUMBER((Datos!M31-Datos!W31)/Datos!W31),(Datos!M31-Datos!W31)/Datos!W31," - ")</f>
        <v>-2.668213457076566E-2</v>
      </c>
      <c r="I31" s="408">
        <f>IF(ISNUMBER((Tasas!C31-Datos!BE31)/Datos!BE31),(Tasas!C31-Datos!BE31)/Datos!BE31," - ")</f>
        <v>-4.7719120678874925E-2</v>
      </c>
      <c r="J31" s="409">
        <f>IF(ISNUMBER((Tasas!D31-Datos!BF31)/Datos!BF31),(Tasas!D31-Datos!BF31)/Datos!BF31," - ")</f>
        <v>-0.42356638683540077</v>
      </c>
      <c r="K31" s="410">
        <f>IF(ISNUMBER((Tasas!E31-Datos!BG31)/Datos!BG31),(Tasas!E31-Datos!BG31)/Datos!BG31," - ")</f>
        <v>-4.389543288287031E-2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0.12097228844147033</v>
      </c>
      <c r="E33" s="303">
        <f t="shared" si="1"/>
        <v>0.10248518692532302</v>
      </c>
      <c r="F33" s="303">
        <f t="shared" si="1"/>
        <v>4.0953782049385989E-2</v>
      </c>
      <c r="G33" s="304">
        <f t="shared" si="1"/>
        <v>0.22241637154963567</v>
      </c>
      <c r="H33" s="310">
        <f t="shared" si="1"/>
        <v>0.18013016198999696</v>
      </c>
      <c r="I33" s="302">
        <f t="shared" si="1"/>
        <v>0.20405835377313605</v>
      </c>
      <c r="J33" s="303">
        <f t="shared" si="1"/>
        <v>0.25572895826763986</v>
      </c>
      <c r="K33" s="304">
        <f t="shared" si="1"/>
        <v>4.7609859650060413E-2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S2qBCquCmIyYwfwnyKgLFhyecyGo5GJ5eg8zszWtvGFrozfYaipKPNMYv82AQ7Y4pPc7tArpoOjsYiclhvjYQ==" saltValue="P5dN6OEM1dEriUzbqHReb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